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3095" tabRatio="866"/>
  </bookViews>
  <sheets>
    <sheet name="Salários e Custos" sheetId="54" r:id="rId1"/>
    <sheet name="Produto 1" sheetId="69" r:id="rId2"/>
    <sheet name="Produto 2 - Cálculo Esforço" sheetId="65" r:id="rId3"/>
    <sheet name="2.1 Orç Reab e Rest" sheetId="57" r:id="rId4"/>
    <sheet name="2.2 Orç Dup e Amp_Capacid" sheetId="66" r:id="rId5"/>
    <sheet name="2.3 Orç Implant e Paviment" sheetId="67" r:id="rId6"/>
    <sheet name="PROPOSTA PREÇO" sheetId="70" r:id="rId7"/>
    <sheet name="Cronograma Ano 1" sheetId="71" r:id="rId8"/>
    <sheet name="Cronograma Ano 2" sheetId="73" r:id="rId9"/>
  </sheets>
  <externalReferences>
    <externalReference r:id="rId10"/>
  </externalReferences>
  <definedNames>
    <definedName name="_xlnm.Print_Area" localSheetId="3">'2.1 Orç Reab e Rest'!$C$1:$I$55</definedName>
    <definedName name="_xlnm.Print_Area" localSheetId="4">'2.2 Orç Dup e Amp_Capacid'!$C$1:$J$55</definedName>
    <definedName name="_xlnm.Print_Area" localSheetId="5">'2.3 Orç Implant e Paviment'!$C$1:$I$55</definedName>
    <definedName name="_xlnm.Print_Area" localSheetId="1">'Produto 1'!$C$1:$K$48</definedName>
    <definedName name="_xlnm.Print_Area" localSheetId="0">'Salários e Custos'!$B$1:$F$23</definedName>
    <definedName name="CA">[1]Indices!$B$3</definedName>
    <definedName name="DF">[1]Indices!$B$5</definedName>
    <definedName name="ES">[1]Indices!$B$2</definedName>
    <definedName name="RE">[1]Indices!$B$4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" i="73" l="1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Y9" i="73"/>
  <c r="X9" i="73"/>
  <c r="W9" i="73"/>
  <c r="V9" i="73"/>
  <c r="U9" i="73"/>
  <c r="T9" i="73"/>
  <c r="S9" i="73"/>
  <c r="R9" i="73"/>
  <c r="Q9" i="73"/>
  <c r="P9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B9" i="73"/>
  <c r="J8" i="73"/>
  <c r="I8" i="73"/>
  <c r="H8" i="73"/>
  <c r="G8" i="73"/>
  <c r="F8" i="73"/>
  <c r="E8" i="73"/>
  <c r="M7" i="73"/>
  <c r="L7" i="73"/>
  <c r="K7" i="73"/>
  <c r="J7" i="73"/>
  <c r="I7" i="73"/>
  <c r="H7" i="73"/>
  <c r="G7" i="73"/>
  <c r="F7" i="73"/>
  <c r="E7" i="73"/>
  <c r="D7" i="73"/>
  <c r="C7" i="73"/>
  <c r="B7" i="73"/>
  <c r="Y6" i="73"/>
  <c r="X6" i="73"/>
  <c r="W6" i="73"/>
  <c r="V6" i="73"/>
  <c r="U6" i="73"/>
  <c r="T6" i="73"/>
  <c r="S6" i="73"/>
  <c r="R6" i="73"/>
  <c r="Q6" i="73"/>
  <c r="P6" i="73"/>
  <c r="O6" i="73"/>
  <c r="N6" i="73"/>
  <c r="M6" i="73"/>
  <c r="L6" i="73"/>
  <c r="K6" i="73"/>
  <c r="J6" i="73"/>
  <c r="I6" i="73"/>
  <c r="H6" i="73"/>
  <c r="G6" i="73"/>
  <c r="F6" i="73"/>
  <c r="E6" i="73"/>
  <c r="D6" i="73"/>
  <c r="C6" i="73"/>
  <c r="B6" i="73"/>
  <c r="Y5" i="73"/>
  <c r="X5" i="73"/>
  <c r="W5" i="73"/>
  <c r="V5" i="73"/>
  <c r="U5" i="73"/>
  <c r="T5" i="73"/>
  <c r="S5" i="73"/>
  <c r="R5" i="73"/>
  <c r="Q5" i="73"/>
  <c r="P5" i="73"/>
  <c r="O5" i="73"/>
  <c r="N5" i="73"/>
  <c r="M5" i="73"/>
  <c r="L5" i="73"/>
  <c r="K5" i="73"/>
  <c r="J5" i="73"/>
  <c r="I5" i="73"/>
  <c r="H5" i="73"/>
  <c r="G5" i="73"/>
  <c r="F5" i="73"/>
  <c r="E5" i="73"/>
  <c r="D5" i="73"/>
  <c r="C5" i="73"/>
  <c r="B5" i="73"/>
  <c r="J11" i="71"/>
  <c r="K11" i="71"/>
  <c r="L11" i="71"/>
  <c r="M11" i="71"/>
  <c r="N11" i="71"/>
  <c r="O11" i="71"/>
  <c r="O9" i="71" s="1"/>
  <c r="O5" i="71" s="1"/>
  <c r="P11" i="71"/>
  <c r="Q11" i="71"/>
  <c r="R11" i="71"/>
  <c r="R9" i="71" s="1"/>
  <c r="R5" i="71" s="1"/>
  <c r="S11" i="71"/>
  <c r="S9" i="71" s="1"/>
  <c r="S5" i="71" s="1"/>
  <c r="T11" i="71"/>
  <c r="U11" i="71"/>
  <c r="V11" i="71"/>
  <c r="W11" i="71"/>
  <c r="X11" i="71"/>
  <c r="Y11" i="71"/>
  <c r="I11" i="71"/>
  <c r="H11" i="71"/>
  <c r="F10" i="71"/>
  <c r="G10" i="71"/>
  <c r="H10" i="71"/>
  <c r="I10" i="71"/>
  <c r="J10" i="71"/>
  <c r="K10" i="71"/>
  <c r="L10" i="71"/>
  <c r="M10" i="71"/>
  <c r="N10" i="71"/>
  <c r="O10" i="71"/>
  <c r="P10" i="71"/>
  <c r="P9" i="71" s="1"/>
  <c r="P5" i="71" s="1"/>
  <c r="E10" i="71"/>
  <c r="E13" i="70"/>
  <c r="F8" i="71" s="1"/>
  <c r="Y9" i="71"/>
  <c r="Y5" i="71" s="1"/>
  <c r="V9" i="71"/>
  <c r="V5" i="71" s="1"/>
  <c r="U9" i="71"/>
  <c r="U5" i="71" s="1"/>
  <c r="Q9" i="71"/>
  <c r="Q5" i="71" s="1"/>
  <c r="M9" i="71"/>
  <c r="I9" i="71"/>
  <c r="L9" i="71"/>
  <c r="F9" i="71"/>
  <c r="X9" i="71"/>
  <c r="X5" i="71" s="1"/>
  <c r="W9" i="71"/>
  <c r="W5" i="71" s="1"/>
  <c r="T9" i="71"/>
  <c r="T5" i="71" s="1"/>
  <c r="K9" i="71"/>
  <c r="H9" i="71"/>
  <c r="G9" i="71"/>
  <c r="E9" i="71"/>
  <c r="D9" i="71"/>
  <c r="C9" i="71"/>
  <c r="B9" i="71"/>
  <c r="Y6" i="71"/>
  <c r="X6" i="71"/>
  <c r="W6" i="71"/>
  <c r="V6" i="71"/>
  <c r="U6" i="71"/>
  <c r="T6" i="71"/>
  <c r="S6" i="71"/>
  <c r="R6" i="71"/>
  <c r="Q6" i="71"/>
  <c r="P6" i="71"/>
  <c r="O6" i="71"/>
  <c r="N6" i="71"/>
  <c r="N9" i="71" l="1"/>
  <c r="N5" i="71" s="1"/>
  <c r="J9" i="71"/>
  <c r="K7" i="71"/>
  <c r="K6" i="71" s="1"/>
  <c r="I8" i="71"/>
  <c r="J7" i="71"/>
  <c r="F7" i="71"/>
  <c r="F6" i="71" s="1"/>
  <c r="F5" i="71" s="1"/>
  <c r="M7" i="71"/>
  <c r="M6" i="71" s="1"/>
  <c r="M5" i="71" s="1"/>
  <c r="H8" i="71"/>
  <c r="G7" i="71"/>
  <c r="B7" i="71"/>
  <c r="B6" i="71" s="1"/>
  <c r="B5" i="71" s="1"/>
  <c r="I7" i="71"/>
  <c r="I6" i="71" s="1"/>
  <c r="I5" i="71" s="1"/>
  <c r="E7" i="71"/>
  <c r="E8" i="71"/>
  <c r="E6" i="71" s="1"/>
  <c r="E5" i="71" s="1"/>
  <c r="G8" i="71"/>
  <c r="C7" i="71"/>
  <c r="C6" i="71" s="1"/>
  <c r="C5" i="71" s="1"/>
  <c r="L7" i="71"/>
  <c r="L6" i="71" s="1"/>
  <c r="L5" i="71" s="1"/>
  <c r="H7" i="71"/>
  <c r="D7" i="71"/>
  <c r="D6" i="71" s="1"/>
  <c r="D5" i="71" s="1"/>
  <c r="J8" i="71"/>
  <c r="K5" i="71"/>
  <c r="G6" i="71" l="1"/>
  <c r="G5" i="71" s="1"/>
  <c r="H6" i="71"/>
  <c r="H5" i="71" s="1"/>
  <c r="J6" i="71"/>
  <c r="J5" i="71" s="1"/>
  <c r="I32" i="54" l="1"/>
  <c r="I31" i="54"/>
  <c r="I30" i="54"/>
  <c r="I29" i="54"/>
  <c r="I28" i="54"/>
  <c r="I27" i="54"/>
  <c r="I26" i="54"/>
  <c r="I25" i="54"/>
  <c r="I24" i="54"/>
  <c r="I23" i="54"/>
  <c r="I22" i="54"/>
  <c r="I21" i="54"/>
  <c r="I20" i="54"/>
  <c r="I19" i="54"/>
  <c r="I18" i="54"/>
  <c r="I17" i="54"/>
  <c r="I16" i="54"/>
  <c r="I15" i="54"/>
  <c r="I14" i="54"/>
  <c r="I13" i="54"/>
  <c r="I12" i="54"/>
  <c r="I11" i="54"/>
  <c r="I10" i="54"/>
  <c r="I9" i="54"/>
  <c r="I8" i="54"/>
  <c r="I41" i="54"/>
  <c r="I40" i="54"/>
  <c r="I38" i="54"/>
  <c r="I37" i="54"/>
  <c r="I39" i="54"/>
  <c r="G43" i="67" l="1"/>
  <c r="G42" i="67"/>
  <c r="G41" i="67"/>
  <c r="G39" i="67"/>
  <c r="G38" i="67"/>
  <c r="G37" i="67"/>
  <c r="G36" i="67"/>
  <c r="G35" i="67"/>
  <c r="G43" i="66"/>
  <c r="G42" i="66"/>
  <c r="G41" i="66"/>
  <c r="G39" i="66"/>
  <c r="G38" i="66"/>
  <c r="G37" i="66"/>
  <c r="G36" i="66"/>
  <c r="G35" i="66"/>
  <c r="G42" i="57"/>
  <c r="G41" i="57"/>
  <c r="G36" i="57"/>
  <c r="G35" i="57"/>
  <c r="D144" i="65" l="1"/>
  <c r="D143" i="65"/>
  <c r="D140" i="65"/>
  <c r="D139" i="65"/>
  <c r="D136" i="65"/>
  <c r="D135" i="65"/>
  <c r="D132" i="65"/>
  <c r="D131" i="65"/>
  <c r="D124" i="65"/>
  <c r="D123" i="65"/>
  <c r="D99" i="65"/>
  <c r="D100" i="65"/>
  <c r="D101" i="65"/>
  <c r="D102" i="65"/>
  <c r="D103" i="65"/>
  <c r="D104" i="65"/>
  <c r="D105" i="65"/>
  <c r="D106" i="65"/>
  <c r="D107" i="65"/>
  <c r="D108" i="65"/>
  <c r="D96" i="65"/>
  <c r="D95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80" i="65"/>
  <c r="D79" i="65"/>
  <c r="D75" i="65"/>
  <c r="D72" i="65"/>
  <c r="D71" i="65"/>
  <c r="D68" i="65"/>
  <c r="D67" i="65"/>
  <c r="D64" i="65"/>
  <c r="D60" i="65"/>
  <c r="D59" i="65"/>
  <c r="D56" i="65"/>
  <c r="D52" i="65"/>
  <c r="D51" i="65"/>
  <c r="D35" i="65" l="1"/>
  <c r="D36" i="65"/>
  <c r="D37" i="65"/>
  <c r="D31" i="65"/>
  <c r="D32" i="65"/>
  <c r="D33" i="65"/>
  <c r="D28" i="65"/>
  <c r="D24" i="65"/>
  <c r="D23" i="65"/>
  <c r="D20" i="65"/>
  <c r="K20" i="65" s="1"/>
  <c r="D19" i="65"/>
  <c r="O19" i="65" s="1"/>
  <c r="D16" i="65"/>
  <c r="K16" i="65" s="1"/>
  <c r="O20" i="65" l="1"/>
  <c r="O16" i="65"/>
  <c r="G20" i="65"/>
  <c r="K19" i="65"/>
  <c r="G19" i="65"/>
  <c r="K59" i="65"/>
  <c r="K56" i="65"/>
  <c r="O56" i="65"/>
  <c r="O59" i="65"/>
  <c r="O64" i="65"/>
  <c r="K64" i="65"/>
  <c r="K68" i="65"/>
  <c r="K67" i="65"/>
  <c r="O68" i="65"/>
  <c r="O67" i="65"/>
  <c r="O72" i="65"/>
  <c r="O71" i="65"/>
  <c r="K72" i="65"/>
  <c r="K71" i="65"/>
  <c r="K76" i="65"/>
  <c r="K75" i="65"/>
  <c r="O76" i="65"/>
  <c r="O75" i="65"/>
  <c r="K80" i="65"/>
  <c r="K79" i="65"/>
  <c r="O80" i="65"/>
  <c r="O79" i="65"/>
  <c r="O83" i="65"/>
  <c r="K83" i="65"/>
  <c r="K88" i="65"/>
  <c r="K87" i="65"/>
  <c r="O88" i="65"/>
  <c r="O87" i="65"/>
  <c r="O92" i="65"/>
  <c r="O91" i="65"/>
  <c r="K92" i="65"/>
  <c r="K91" i="65"/>
  <c r="K96" i="65"/>
  <c r="K95" i="65"/>
  <c r="O96" i="65"/>
  <c r="O95" i="65"/>
  <c r="O100" i="65"/>
  <c r="O99" i="65"/>
  <c r="K100" i="65"/>
  <c r="K99" i="65"/>
  <c r="K108" i="65"/>
  <c r="K107" i="65"/>
  <c r="O108" i="65"/>
  <c r="O107" i="65"/>
  <c r="O124" i="65"/>
  <c r="O123" i="65"/>
  <c r="O132" i="65"/>
  <c r="O131" i="65"/>
  <c r="O136" i="65"/>
  <c r="O135" i="65"/>
  <c r="O140" i="65"/>
  <c r="O139" i="65"/>
  <c r="O144" i="65"/>
  <c r="O143" i="65"/>
  <c r="K144" i="65"/>
  <c r="K143" i="65"/>
  <c r="K140" i="65"/>
  <c r="K139" i="65"/>
  <c r="K136" i="65"/>
  <c r="K135" i="65"/>
  <c r="K132" i="65"/>
  <c r="K131" i="65"/>
  <c r="K124" i="65"/>
  <c r="K123" i="65"/>
  <c r="G144" i="65"/>
  <c r="G143" i="65"/>
  <c r="G140" i="65"/>
  <c r="G139" i="65"/>
  <c r="G136" i="65"/>
  <c r="G135" i="65"/>
  <c r="G132" i="65"/>
  <c r="G131" i="65"/>
  <c r="G124" i="65"/>
  <c r="G123" i="65"/>
  <c r="G108" i="65"/>
  <c r="G107" i="65"/>
  <c r="G100" i="65"/>
  <c r="G99" i="65"/>
  <c r="G96" i="65"/>
  <c r="G95" i="65"/>
  <c r="G92" i="65"/>
  <c r="G91" i="65"/>
  <c r="G88" i="65"/>
  <c r="G87" i="65"/>
  <c r="G83" i="65"/>
  <c r="G80" i="65"/>
  <c r="G79" i="65"/>
  <c r="G76" i="65"/>
  <c r="G75" i="65"/>
  <c r="G72" i="65"/>
  <c r="G71" i="65"/>
  <c r="G68" i="65"/>
  <c r="G67" i="65"/>
  <c r="G64" i="65"/>
  <c r="G59" i="65"/>
  <c r="G56" i="65"/>
  <c r="O52" i="65"/>
  <c r="O51" i="65"/>
  <c r="O49" i="65"/>
  <c r="G48" i="65"/>
  <c r="K47" i="65"/>
  <c r="K45" i="65"/>
  <c r="O44" i="65"/>
  <c r="G43" i="65"/>
  <c r="O41" i="65"/>
  <c r="O40" i="65"/>
  <c r="O39" i="65"/>
  <c r="G37" i="65"/>
  <c r="O36" i="65"/>
  <c r="K35" i="65"/>
  <c r="G33" i="65"/>
  <c r="K32" i="65"/>
  <c r="O31" i="65"/>
  <c r="O28" i="65"/>
  <c r="O23" i="65"/>
  <c r="G22" i="57"/>
  <c r="G16" i="65"/>
  <c r="K51" i="65" l="1"/>
  <c r="K52" i="65"/>
  <c r="G51" i="65"/>
  <c r="G52" i="65"/>
  <c r="G39" i="65"/>
  <c r="G44" i="65"/>
  <c r="G49" i="65"/>
  <c r="K43" i="65"/>
  <c r="K48" i="65"/>
  <c r="O45" i="65"/>
  <c r="O47" i="65"/>
  <c r="G40" i="65"/>
  <c r="G45" i="65"/>
  <c r="K39" i="65"/>
  <c r="K44" i="65"/>
  <c r="K49" i="65"/>
  <c r="O48" i="65"/>
  <c r="G41" i="65"/>
  <c r="G47" i="65"/>
  <c r="K40" i="65"/>
  <c r="O43" i="65"/>
  <c r="K41" i="65"/>
  <c r="G35" i="65"/>
  <c r="K36" i="65"/>
  <c r="O37" i="65"/>
  <c r="G36" i="65"/>
  <c r="K37" i="65"/>
  <c r="O35" i="65"/>
  <c r="K33" i="65"/>
  <c r="G31" i="65"/>
  <c r="O33" i="65"/>
  <c r="G32" i="65"/>
  <c r="K31" i="65"/>
  <c r="O32" i="65"/>
  <c r="G28" i="65"/>
  <c r="K28" i="65"/>
  <c r="G23" i="65"/>
  <c r="K23" i="65"/>
  <c r="G11" i="57" l="1"/>
  <c r="G13" i="57"/>
  <c r="G21" i="57"/>
  <c r="G28" i="67" l="1"/>
  <c r="G27" i="67"/>
  <c r="G26" i="67"/>
  <c r="G25" i="67"/>
  <c r="G23" i="67"/>
  <c r="G22" i="67"/>
  <c r="G21" i="67"/>
  <c r="G20" i="67"/>
  <c r="G19" i="67"/>
  <c r="G17" i="67"/>
  <c r="G16" i="67"/>
  <c r="G15" i="67"/>
  <c r="G14" i="67"/>
  <c r="G13" i="67"/>
  <c r="G11" i="67"/>
  <c r="G28" i="66"/>
  <c r="G27" i="66"/>
  <c r="G26" i="66"/>
  <c r="G25" i="66"/>
  <c r="G23" i="66"/>
  <c r="G22" i="66"/>
  <c r="G21" i="66"/>
  <c r="G20" i="66"/>
  <c r="G19" i="66"/>
  <c r="G17" i="66"/>
  <c r="G16" i="66"/>
  <c r="G15" i="66"/>
  <c r="G14" i="66"/>
  <c r="G13" i="66"/>
  <c r="G11" i="66"/>
  <c r="G43" i="57"/>
  <c r="G39" i="57"/>
  <c r="G38" i="57"/>
  <c r="G37" i="57"/>
  <c r="G28" i="57"/>
  <c r="G27" i="57"/>
  <c r="G26" i="57"/>
  <c r="G25" i="57"/>
  <c r="G23" i="57"/>
  <c r="G20" i="57"/>
  <c r="G19" i="57"/>
  <c r="G17" i="57"/>
  <c r="G16" i="57"/>
  <c r="G15" i="57"/>
  <c r="G14" i="57"/>
  <c r="G40" i="67" l="1"/>
  <c r="G40" i="66"/>
  <c r="G40" i="57"/>
  <c r="D137" i="65"/>
  <c r="D134" i="65"/>
  <c r="D98" i="65"/>
  <c r="K137" i="65" l="1"/>
  <c r="O137" i="65"/>
  <c r="G137" i="65"/>
  <c r="G98" i="65"/>
  <c r="O98" i="65"/>
  <c r="K98" i="65"/>
  <c r="K101" i="65"/>
  <c r="O101" i="65"/>
  <c r="G101" i="65"/>
  <c r="O134" i="65"/>
  <c r="K134" i="65"/>
  <c r="G134" i="65"/>
  <c r="P134" i="65" l="1"/>
  <c r="P98" i="65"/>
  <c r="L134" i="65"/>
  <c r="H134" i="65"/>
  <c r="L98" i="65"/>
  <c r="H98" i="65"/>
  <c r="D81" i="65"/>
  <c r="D78" i="65"/>
  <c r="D38" i="65"/>
  <c r="O81" i="65" l="1"/>
  <c r="G81" i="65"/>
  <c r="K81" i="65"/>
  <c r="K78" i="65"/>
  <c r="O78" i="65"/>
  <c r="G78" i="65"/>
  <c r="K38" i="65"/>
  <c r="L38" i="65" s="1"/>
  <c r="O38" i="65"/>
  <c r="P38" i="65" s="1"/>
  <c r="G38" i="65"/>
  <c r="H38" i="65" s="1"/>
  <c r="P78" i="65" l="1"/>
  <c r="H78" i="65"/>
  <c r="L78" i="65"/>
  <c r="O86" i="65" l="1"/>
  <c r="G86" i="65"/>
  <c r="K86" i="65"/>
  <c r="K89" i="65"/>
  <c r="G89" i="65"/>
  <c r="O89" i="65"/>
  <c r="H86" i="65" l="1"/>
  <c r="P86" i="65"/>
  <c r="L86" i="65"/>
  <c r="H43" i="67"/>
  <c r="I43" i="67" s="1"/>
  <c r="H42" i="67"/>
  <c r="I42" i="67" s="1"/>
  <c r="H41" i="67"/>
  <c r="I41" i="67" s="1"/>
  <c r="H40" i="67"/>
  <c r="I40" i="67" s="1"/>
  <c r="H39" i="67"/>
  <c r="I39" i="67" s="1"/>
  <c r="H38" i="67"/>
  <c r="I38" i="67" s="1"/>
  <c r="H37" i="67"/>
  <c r="I37" i="67" s="1"/>
  <c r="H36" i="67"/>
  <c r="I36" i="67" s="1"/>
  <c r="H35" i="67"/>
  <c r="I35" i="67" s="1"/>
  <c r="H43" i="66"/>
  <c r="I43" i="66" s="1"/>
  <c r="H42" i="66"/>
  <c r="I42" i="66" s="1"/>
  <c r="H41" i="66"/>
  <c r="I41" i="66" s="1"/>
  <c r="H40" i="66"/>
  <c r="I40" i="66" s="1"/>
  <c r="H39" i="66"/>
  <c r="I39" i="66" s="1"/>
  <c r="H38" i="66"/>
  <c r="I38" i="66" s="1"/>
  <c r="H37" i="66"/>
  <c r="I37" i="66" s="1"/>
  <c r="H36" i="66"/>
  <c r="I36" i="66" s="1"/>
  <c r="H35" i="66"/>
  <c r="I35" i="66" s="1"/>
  <c r="H36" i="57"/>
  <c r="H37" i="57"/>
  <c r="H38" i="57"/>
  <c r="H39" i="57"/>
  <c r="H40" i="57"/>
  <c r="H41" i="57"/>
  <c r="H42" i="57"/>
  <c r="H43" i="57"/>
  <c r="D29" i="65"/>
  <c r="D27" i="65"/>
  <c r="D26" i="65"/>
  <c r="H35" i="57"/>
  <c r="I42" i="57" l="1"/>
  <c r="I38" i="57"/>
  <c r="I40" i="57"/>
  <c r="I36" i="57"/>
  <c r="I41" i="57"/>
  <c r="I37" i="57"/>
  <c r="I43" i="57"/>
  <c r="I39" i="57"/>
  <c r="G26" i="65"/>
  <c r="O26" i="65"/>
  <c r="K26" i="65"/>
  <c r="K27" i="65"/>
  <c r="O27" i="65"/>
  <c r="G27" i="65"/>
  <c r="O29" i="65"/>
  <c r="G29" i="65"/>
  <c r="K29" i="65"/>
  <c r="D145" i="65"/>
  <c r="D141" i="65"/>
  <c r="G141" i="65" s="1"/>
  <c r="D138" i="65"/>
  <c r="D117" i="65"/>
  <c r="D116" i="65"/>
  <c r="D115" i="65"/>
  <c r="D114" i="65"/>
  <c r="D113" i="65"/>
  <c r="D112" i="65"/>
  <c r="D111" i="65"/>
  <c r="D110" i="65"/>
  <c r="D129" i="65"/>
  <c r="D128" i="65"/>
  <c r="D127" i="65"/>
  <c r="D126" i="65"/>
  <c r="D121" i="65"/>
  <c r="D120" i="65"/>
  <c r="D119" i="65"/>
  <c r="D118" i="65"/>
  <c r="P26" i="65" l="1"/>
  <c r="O112" i="65"/>
  <c r="G112" i="65"/>
  <c r="K112" i="65"/>
  <c r="K145" i="65"/>
  <c r="O145" i="65"/>
  <c r="G145" i="65"/>
  <c r="K121" i="65"/>
  <c r="G121" i="65"/>
  <c r="O121" i="65"/>
  <c r="K129" i="65"/>
  <c r="O129" i="65"/>
  <c r="G129" i="65"/>
  <c r="K113" i="65"/>
  <c r="G113" i="65"/>
  <c r="O113" i="65"/>
  <c r="K117" i="65"/>
  <c r="G117" i="65"/>
  <c r="O117" i="65"/>
  <c r="G128" i="65"/>
  <c r="O128" i="65"/>
  <c r="K128" i="65"/>
  <c r="G118" i="65"/>
  <c r="O118" i="65"/>
  <c r="K118" i="65"/>
  <c r="O126" i="65"/>
  <c r="G126" i="65"/>
  <c r="K126" i="65"/>
  <c r="G110" i="65"/>
  <c r="O110" i="65"/>
  <c r="K110" i="65"/>
  <c r="G114" i="65"/>
  <c r="O114" i="65"/>
  <c r="K114" i="65"/>
  <c r="O138" i="65"/>
  <c r="G138" i="65"/>
  <c r="K138" i="65"/>
  <c r="O120" i="65"/>
  <c r="G120" i="65"/>
  <c r="K120" i="65"/>
  <c r="O116" i="65"/>
  <c r="G116" i="65"/>
  <c r="K116" i="65"/>
  <c r="K119" i="65"/>
  <c r="O119" i="65"/>
  <c r="G119" i="65"/>
  <c r="K127" i="65"/>
  <c r="G127" i="65"/>
  <c r="O127" i="65"/>
  <c r="K111" i="65"/>
  <c r="O111" i="65"/>
  <c r="G111" i="65"/>
  <c r="K115" i="65"/>
  <c r="O115" i="65"/>
  <c r="G115" i="65"/>
  <c r="K141" i="65"/>
  <c r="O141" i="65"/>
  <c r="H26" i="65"/>
  <c r="L26" i="65"/>
  <c r="P126" i="65" l="1"/>
  <c r="P138" i="65"/>
  <c r="P114" i="65"/>
  <c r="P118" i="65"/>
  <c r="P110" i="65"/>
  <c r="H138" i="65"/>
  <c r="L138" i="65"/>
  <c r="H114" i="65"/>
  <c r="L114" i="65"/>
  <c r="L110" i="65"/>
  <c r="H110" i="65"/>
  <c r="H126" i="65"/>
  <c r="H118" i="65"/>
  <c r="L126" i="65"/>
  <c r="L118" i="65"/>
  <c r="D97" i="65" l="1"/>
  <c r="D109" i="65"/>
  <c r="D125" i="65"/>
  <c r="D122" i="65"/>
  <c r="D77" i="65"/>
  <c r="D74" i="65"/>
  <c r="D70" i="65"/>
  <c r="D73" i="65"/>
  <c r="D63" i="65"/>
  <c r="D30" i="65"/>
  <c r="D46" i="65"/>
  <c r="D42" i="65"/>
  <c r="O42" i="65" l="1"/>
  <c r="P42" i="65" s="1"/>
  <c r="G42" i="65"/>
  <c r="H42" i="65" s="1"/>
  <c r="K42" i="65"/>
  <c r="L42" i="65" s="1"/>
  <c r="O94" i="65"/>
  <c r="G94" i="65"/>
  <c r="K94" i="65"/>
  <c r="K70" i="65"/>
  <c r="O70" i="65"/>
  <c r="G70" i="65"/>
  <c r="K125" i="65"/>
  <c r="O125" i="65"/>
  <c r="G125" i="65"/>
  <c r="K97" i="65"/>
  <c r="G97" i="65"/>
  <c r="O97" i="65"/>
  <c r="G122" i="65"/>
  <c r="O122" i="65"/>
  <c r="K122" i="65"/>
  <c r="K30" i="65"/>
  <c r="L30" i="65" s="1"/>
  <c r="G30" i="65"/>
  <c r="H30" i="65" s="1"/>
  <c r="O30" i="65"/>
  <c r="P30" i="65" s="1"/>
  <c r="K74" i="65"/>
  <c r="G74" i="65"/>
  <c r="O74" i="65"/>
  <c r="O106" i="65"/>
  <c r="G106" i="65"/>
  <c r="K106" i="65"/>
  <c r="O73" i="65"/>
  <c r="G73" i="65"/>
  <c r="H70" i="65" s="1"/>
  <c r="K73" i="65"/>
  <c r="K46" i="65"/>
  <c r="L46" i="65" s="1"/>
  <c r="G46" i="65"/>
  <c r="H46" i="65" s="1"/>
  <c r="O46" i="65"/>
  <c r="P46" i="65" s="1"/>
  <c r="K63" i="65"/>
  <c r="O63" i="65"/>
  <c r="G63" i="65"/>
  <c r="G77" i="65"/>
  <c r="O77" i="65"/>
  <c r="K77" i="65"/>
  <c r="K109" i="65"/>
  <c r="G109" i="65"/>
  <c r="O109" i="65"/>
  <c r="D22" i="65"/>
  <c r="D18" i="65"/>
  <c r="D14" i="65"/>
  <c r="H94" i="65" l="1"/>
  <c r="P74" i="65"/>
  <c r="P106" i="65"/>
  <c r="H74" i="65"/>
  <c r="P70" i="65"/>
  <c r="P122" i="65"/>
  <c r="H106" i="65"/>
  <c r="P94" i="65"/>
  <c r="K22" i="65"/>
  <c r="O22" i="65"/>
  <c r="G22" i="65"/>
  <c r="O14" i="65"/>
  <c r="K14" i="65"/>
  <c r="G14" i="65"/>
  <c r="O18" i="65"/>
  <c r="G18" i="65"/>
  <c r="K18" i="65"/>
  <c r="L94" i="65"/>
  <c r="H122" i="65"/>
  <c r="L106" i="65"/>
  <c r="L122" i="65"/>
  <c r="L70" i="65"/>
  <c r="L74" i="65"/>
  <c r="D133" i="65" l="1"/>
  <c r="D130" i="65"/>
  <c r="K133" i="65" l="1"/>
  <c r="G133" i="65"/>
  <c r="O133" i="65"/>
  <c r="O130" i="65"/>
  <c r="G130" i="65"/>
  <c r="K130" i="65"/>
  <c r="P130" i="65" l="1"/>
  <c r="H130" i="65"/>
  <c r="L130" i="65"/>
  <c r="D53" i="65" l="1"/>
  <c r="D50" i="65"/>
  <c r="H28" i="67"/>
  <c r="I28" i="67" s="1"/>
  <c r="H28" i="66"/>
  <c r="I28" i="66" s="1"/>
  <c r="H28" i="57"/>
  <c r="H36" i="69"/>
  <c r="H29" i="69"/>
  <c r="H28" i="69"/>
  <c r="H27" i="69"/>
  <c r="H26" i="69"/>
  <c r="H24" i="69"/>
  <c r="H23" i="69"/>
  <c r="H22" i="69"/>
  <c r="H21" i="69"/>
  <c r="H20" i="69"/>
  <c r="H18" i="69"/>
  <c r="H17" i="69"/>
  <c r="H16" i="69"/>
  <c r="H15" i="69"/>
  <c r="H14" i="69"/>
  <c r="H12" i="69"/>
  <c r="I14" i="69" l="1"/>
  <c r="I18" i="69"/>
  <c r="I23" i="69"/>
  <c r="I28" i="69"/>
  <c r="I15" i="69"/>
  <c r="I20" i="69"/>
  <c r="I24" i="69"/>
  <c r="I29" i="69"/>
  <c r="I16" i="69"/>
  <c r="I21" i="69"/>
  <c r="I26" i="69"/>
  <c r="I12" i="69"/>
  <c r="I17" i="69"/>
  <c r="I22" i="69"/>
  <c r="I27" i="69"/>
  <c r="G50" i="65"/>
  <c r="O50" i="65"/>
  <c r="K50" i="65"/>
  <c r="K53" i="65"/>
  <c r="O53" i="65"/>
  <c r="G53" i="65"/>
  <c r="I36" i="69"/>
  <c r="H27" i="67"/>
  <c r="I27" i="67" s="1"/>
  <c r="H26" i="67"/>
  <c r="I26" i="67" s="1"/>
  <c r="H25" i="67"/>
  <c r="I25" i="67" s="1"/>
  <c r="H23" i="67"/>
  <c r="I23" i="67" s="1"/>
  <c r="H22" i="67"/>
  <c r="I22" i="67" s="1"/>
  <c r="H21" i="67"/>
  <c r="I21" i="67" s="1"/>
  <c r="H20" i="67"/>
  <c r="I20" i="67" s="1"/>
  <c r="H19" i="67"/>
  <c r="I19" i="67" s="1"/>
  <c r="H17" i="67"/>
  <c r="I17" i="67" s="1"/>
  <c r="H16" i="67"/>
  <c r="I16" i="67" s="1"/>
  <c r="H15" i="67"/>
  <c r="I15" i="67" s="1"/>
  <c r="H14" i="67"/>
  <c r="I14" i="67" s="1"/>
  <c r="H13" i="67"/>
  <c r="I13" i="67" s="1"/>
  <c r="H11" i="67"/>
  <c r="I11" i="67" s="1"/>
  <c r="H27" i="66"/>
  <c r="I27" i="66" s="1"/>
  <c r="H26" i="66"/>
  <c r="I26" i="66" s="1"/>
  <c r="H25" i="66"/>
  <c r="I25" i="66" s="1"/>
  <c r="H23" i="66"/>
  <c r="I23" i="66" s="1"/>
  <c r="H22" i="66"/>
  <c r="I22" i="66" s="1"/>
  <c r="H21" i="66"/>
  <c r="I21" i="66" s="1"/>
  <c r="H20" i="66"/>
  <c r="I20" i="66" s="1"/>
  <c r="H19" i="66"/>
  <c r="I19" i="66" s="1"/>
  <c r="H17" i="66"/>
  <c r="I17" i="66" s="1"/>
  <c r="H16" i="66"/>
  <c r="I16" i="66" s="1"/>
  <c r="H15" i="66"/>
  <c r="I15" i="66" s="1"/>
  <c r="H14" i="66"/>
  <c r="I14" i="66" s="1"/>
  <c r="H13" i="66"/>
  <c r="I13" i="66" s="1"/>
  <c r="H11" i="66"/>
  <c r="I11" i="66" s="1"/>
  <c r="I31" i="67" l="1"/>
  <c r="I32" i="69"/>
  <c r="I31" i="66"/>
  <c r="I30" i="66"/>
  <c r="I32" i="66" s="1"/>
  <c r="I30" i="67"/>
  <c r="I32" i="67" s="1"/>
  <c r="P50" i="65"/>
  <c r="H50" i="65"/>
  <c r="L50" i="65"/>
  <c r="I37" i="69"/>
  <c r="I31" i="69"/>
  <c r="I33" i="69" s="1"/>
  <c r="I39" i="69" l="1"/>
  <c r="I44" i="66"/>
  <c r="I46" i="66" s="1"/>
  <c r="I49" i="66" s="1"/>
  <c r="I51" i="66" s="1"/>
  <c r="I53" i="66" s="1"/>
  <c r="I44" i="67"/>
  <c r="I46" i="67" s="1"/>
  <c r="I49" i="67" s="1"/>
  <c r="I51" i="67" s="1"/>
  <c r="I53" i="67" s="1"/>
  <c r="I42" i="69" l="1"/>
  <c r="I44" i="69" s="1"/>
  <c r="I46" i="69" s="1"/>
  <c r="I48" i="69" l="1"/>
  <c r="I55" i="67"/>
  <c r="I55" i="66"/>
  <c r="E12" i="70" l="1"/>
  <c r="Y4" i="73"/>
  <c r="Y12" i="73" s="1"/>
  <c r="X4" i="73"/>
  <c r="X12" i="73" s="1"/>
  <c r="T4" i="73"/>
  <c r="T12" i="73" s="1"/>
  <c r="P4" i="73"/>
  <c r="P12" i="73" s="1"/>
  <c r="L4" i="73"/>
  <c r="L12" i="73" s="1"/>
  <c r="H4" i="73"/>
  <c r="H12" i="73" s="1"/>
  <c r="D4" i="73"/>
  <c r="D12" i="73" s="1"/>
  <c r="E4" i="71"/>
  <c r="E12" i="71" s="1"/>
  <c r="I4" i="71"/>
  <c r="I12" i="71" s="1"/>
  <c r="M4" i="71"/>
  <c r="M12" i="71" s="1"/>
  <c r="Q4" i="71"/>
  <c r="Q12" i="71" s="1"/>
  <c r="U4" i="71"/>
  <c r="U12" i="71" s="1"/>
  <c r="Y4" i="71"/>
  <c r="Y12" i="71" s="1"/>
  <c r="S4" i="73"/>
  <c r="S12" i="73" s="1"/>
  <c r="O4" i="73"/>
  <c r="O12" i="73" s="1"/>
  <c r="K4" i="73"/>
  <c r="K12" i="73" s="1"/>
  <c r="G4" i="73"/>
  <c r="G12" i="73" s="1"/>
  <c r="C4" i="73"/>
  <c r="C12" i="73" s="1"/>
  <c r="F4" i="71"/>
  <c r="F12" i="71" s="1"/>
  <c r="J4" i="71"/>
  <c r="J12" i="71" s="1"/>
  <c r="N4" i="71"/>
  <c r="N12" i="71" s="1"/>
  <c r="R4" i="71"/>
  <c r="R12" i="71" s="1"/>
  <c r="V4" i="71"/>
  <c r="V12" i="71" s="1"/>
  <c r="B4" i="71"/>
  <c r="B12" i="71" s="1"/>
  <c r="B13" i="71" s="1"/>
  <c r="E4" i="73"/>
  <c r="E12" i="73" s="1"/>
  <c r="D4" i="71"/>
  <c r="D12" i="71" s="1"/>
  <c r="L4" i="71"/>
  <c r="L12" i="71" s="1"/>
  <c r="T4" i="71"/>
  <c r="T12" i="71" s="1"/>
  <c r="W4" i="73"/>
  <c r="W12" i="73" s="1"/>
  <c r="V4" i="73"/>
  <c r="V12" i="73" s="1"/>
  <c r="R4" i="73"/>
  <c r="R12" i="73" s="1"/>
  <c r="N4" i="73"/>
  <c r="N12" i="73" s="1"/>
  <c r="J4" i="73"/>
  <c r="J12" i="73" s="1"/>
  <c r="F4" i="73"/>
  <c r="F12" i="73" s="1"/>
  <c r="B4" i="73"/>
  <c r="B12" i="73" s="1"/>
  <c r="B13" i="73" s="1"/>
  <c r="C4" i="71"/>
  <c r="C12" i="71" s="1"/>
  <c r="C13" i="71" s="1"/>
  <c r="G4" i="71"/>
  <c r="G12" i="71" s="1"/>
  <c r="K4" i="71"/>
  <c r="K12" i="71" s="1"/>
  <c r="O4" i="71"/>
  <c r="O12" i="71" s="1"/>
  <c r="S4" i="71"/>
  <c r="S12" i="71" s="1"/>
  <c r="W4" i="71"/>
  <c r="W12" i="71" s="1"/>
  <c r="U4" i="73"/>
  <c r="U12" i="73" s="1"/>
  <c r="Q4" i="73"/>
  <c r="Q12" i="73" s="1"/>
  <c r="M4" i="73"/>
  <c r="M12" i="73" s="1"/>
  <c r="I4" i="73"/>
  <c r="I12" i="73" s="1"/>
  <c r="H4" i="71"/>
  <c r="H12" i="71" s="1"/>
  <c r="P4" i="71"/>
  <c r="P12" i="71" s="1"/>
  <c r="X4" i="71"/>
  <c r="X12" i="71" s="1"/>
  <c r="I56" i="67"/>
  <c r="D5" i="70" s="1"/>
  <c r="E5" i="70" s="1"/>
  <c r="I56" i="66"/>
  <c r="D4" i="70" s="1"/>
  <c r="E4" i="70" s="1"/>
  <c r="F12" i="70"/>
  <c r="D13" i="71" l="1"/>
  <c r="E13" i="71" s="1"/>
  <c r="F13" i="71" s="1"/>
  <c r="C13" i="73"/>
  <c r="D13" i="73" s="1"/>
  <c r="E13" i="73" s="1"/>
  <c r="F13" i="73" s="1"/>
  <c r="G13" i="73" s="1"/>
  <c r="H13" i="73" s="1"/>
  <c r="I13" i="73" s="1"/>
  <c r="J13" i="73" s="1"/>
  <c r="K13" i="73" s="1"/>
  <c r="L13" i="73" s="1"/>
  <c r="M13" i="73" s="1"/>
  <c r="N13" i="73" s="1"/>
  <c r="O13" i="73" s="1"/>
  <c r="P13" i="73" s="1"/>
  <c r="Q13" i="73" s="1"/>
  <c r="R13" i="73" s="1"/>
  <c r="S13" i="73" s="1"/>
  <c r="T13" i="73" s="1"/>
  <c r="U13" i="73" s="1"/>
  <c r="V13" i="73" s="1"/>
  <c r="W13" i="73" s="1"/>
  <c r="X13" i="73" s="1"/>
  <c r="Y13" i="73" s="1"/>
  <c r="G13" i="71"/>
  <c r="H13" i="71" s="1"/>
  <c r="I13" i="71" s="1"/>
  <c r="J13" i="71" s="1"/>
  <c r="K13" i="71" s="1"/>
  <c r="L13" i="71" s="1"/>
  <c r="M13" i="71" s="1"/>
  <c r="N13" i="71" s="1"/>
  <c r="O13" i="71" s="1"/>
  <c r="P13" i="71" s="1"/>
  <c r="Q13" i="71" s="1"/>
  <c r="R13" i="71" s="1"/>
  <c r="S13" i="71" s="1"/>
  <c r="T13" i="71" s="1"/>
  <c r="U13" i="71" s="1"/>
  <c r="V13" i="71" s="1"/>
  <c r="W13" i="71" s="1"/>
  <c r="X13" i="71" s="1"/>
  <c r="Y13" i="71" s="1"/>
  <c r="D82" i="65"/>
  <c r="D34" i="65"/>
  <c r="G84" i="65" l="1"/>
  <c r="O84" i="65"/>
  <c r="K84" i="65"/>
  <c r="K85" i="65"/>
  <c r="O85" i="65"/>
  <c r="G85" i="65"/>
  <c r="G34" i="65"/>
  <c r="H34" i="65" s="1"/>
  <c r="O34" i="65"/>
  <c r="P34" i="65" s="1"/>
  <c r="K34" i="65"/>
  <c r="L34" i="65" s="1"/>
  <c r="G90" i="65"/>
  <c r="O90" i="65"/>
  <c r="K90" i="65"/>
  <c r="K82" i="65"/>
  <c r="G82" i="65"/>
  <c r="O82" i="65"/>
  <c r="K93" i="65"/>
  <c r="O93" i="65"/>
  <c r="G93" i="65"/>
  <c r="H90" i="65" s="1"/>
  <c r="D142" i="65"/>
  <c r="D69" i="65"/>
  <c r="D66" i="65"/>
  <c r="D65" i="65"/>
  <c r="D62" i="65"/>
  <c r="D61" i="65"/>
  <c r="D58" i="65"/>
  <c r="D57" i="65"/>
  <c r="D55" i="65"/>
  <c r="D54" i="65"/>
  <c r="D25" i="65"/>
  <c r="D21" i="65"/>
  <c r="D17" i="65"/>
  <c r="G17" i="65" s="1"/>
  <c r="D15" i="65"/>
  <c r="H82" i="65" l="1"/>
  <c r="P82" i="65"/>
  <c r="P90" i="65"/>
  <c r="L90" i="65"/>
  <c r="L82" i="65"/>
  <c r="K55" i="65"/>
  <c r="G55" i="65"/>
  <c r="O55" i="65"/>
  <c r="G69" i="65"/>
  <c r="O69" i="65"/>
  <c r="K69" i="65"/>
  <c r="G15" i="65"/>
  <c r="O15" i="65"/>
  <c r="K15" i="65"/>
  <c r="O24" i="65"/>
  <c r="G24" i="65"/>
  <c r="K24" i="65"/>
  <c r="G57" i="65"/>
  <c r="O57" i="65"/>
  <c r="K57" i="65"/>
  <c r="G62" i="65"/>
  <c r="O62" i="65"/>
  <c r="K62" i="65"/>
  <c r="O102" i="65"/>
  <c r="G102" i="65"/>
  <c r="K102" i="65"/>
  <c r="O142" i="65"/>
  <c r="P142" i="65" s="1"/>
  <c r="K142" i="65"/>
  <c r="L142" i="65" s="1"/>
  <c r="G142" i="65"/>
  <c r="H142" i="65" s="1"/>
  <c r="G21" i="65"/>
  <c r="H18" i="65" s="1"/>
  <c r="O21" i="65"/>
  <c r="K21" i="65"/>
  <c r="K105" i="65"/>
  <c r="O105" i="65"/>
  <c r="G105" i="65"/>
  <c r="K17" i="65"/>
  <c r="L14" i="65" s="1"/>
  <c r="O17" i="65"/>
  <c r="K25" i="65"/>
  <c r="G25" i="65"/>
  <c r="O25" i="65"/>
  <c r="K58" i="65"/>
  <c r="O58" i="65"/>
  <c r="G58" i="65"/>
  <c r="O65" i="65"/>
  <c r="P62" i="65" s="1"/>
  <c r="G65" i="65"/>
  <c r="K65" i="65"/>
  <c r="K103" i="65"/>
  <c r="G103" i="65"/>
  <c r="O103" i="65"/>
  <c r="K61" i="65"/>
  <c r="G61" i="65"/>
  <c r="O61" i="65"/>
  <c r="O54" i="65"/>
  <c r="G54" i="65"/>
  <c r="K54" i="65"/>
  <c r="O60" i="65"/>
  <c r="G60" i="65"/>
  <c r="K60" i="65"/>
  <c r="K66" i="65"/>
  <c r="G66" i="65"/>
  <c r="O66" i="65"/>
  <c r="G104" i="65"/>
  <c r="O104" i="65"/>
  <c r="K104" i="65"/>
  <c r="P66" i="65" l="1"/>
  <c r="L66" i="65"/>
  <c r="L22" i="65"/>
  <c r="L102" i="65"/>
  <c r="L18" i="65"/>
  <c r="P102" i="65"/>
  <c r="H58" i="65"/>
  <c r="P14" i="65"/>
  <c r="L62" i="65"/>
  <c r="P22" i="65"/>
  <c r="H54" i="65"/>
  <c r="H62" i="65"/>
  <c r="H102" i="65"/>
  <c r="L58" i="65"/>
  <c r="P18" i="65"/>
  <c r="P54" i="65"/>
  <c r="P58" i="65"/>
  <c r="H66" i="65"/>
  <c r="L54" i="65"/>
  <c r="H22" i="65"/>
  <c r="H14" i="65"/>
  <c r="H27" i="57" l="1"/>
  <c r="I27" i="57" s="1"/>
  <c r="H26" i="57"/>
  <c r="I26" i="57" s="1"/>
  <c r="H25" i="57"/>
  <c r="I25" i="57" s="1"/>
  <c r="H23" i="57"/>
  <c r="H22" i="57"/>
  <c r="I22" i="57" s="1"/>
  <c r="H21" i="57"/>
  <c r="I21" i="57" s="1"/>
  <c r="H20" i="57"/>
  <c r="H19" i="57"/>
  <c r="H17" i="57"/>
  <c r="I17" i="57" s="1"/>
  <c r="H16" i="57"/>
  <c r="I16" i="57" s="1"/>
  <c r="H15" i="57"/>
  <c r="I15" i="57" s="1"/>
  <c r="H14" i="57"/>
  <c r="H13" i="57"/>
  <c r="H11" i="57"/>
  <c r="I11" i="57" s="1"/>
  <c r="I35" i="57" l="1"/>
  <c r="I44" i="57" s="1"/>
  <c r="I13" i="57"/>
  <c r="I28" i="57"/>
  <c r="I19" i="57"/>
  <c r="I23" i="57"/>
  <c r="I20" i="57"/>
  <c r="I14" i="57"/>
  <c r="I31" i="57" l="1"/>
  <c r="I30" i="57"/>
  <c r="I32" i="57" s="1"/>
  <c r="I46" i="57" l="1"/>
  <c r="I49" i="57" l="1"/>
  <c r="I51" i="57" s="1"/>
  <c r="I53" i="57" l="1"/>
  <c r="I55" i="57" s="1"/>
  <c r="I56" i="57" s="1"/>
  <c r="D3" i="70" l="1"/>
  <c r="E3" i="70" s="1"/>
  <c r="E6" i="70" s="1"/>
  <c r="F13" i="70" l="1"/>
  <c r="F14" i="70" l="1"/>
  <c r="F16" i="70" s="1"/>
</calcChain>
</file>

<file path=xl/sharedStrings.xml><?xml version="1.0" encoding="utf-8"?>
<sst xmlns="http://schemas.openxmlformats.org/spreadsheetml/2006/main" count="892" uniqueCount="270">
  <si>
    <t>Valores em Reais</t>
  </si>
  <si>
    <t>Mês Base</t>
  </si>
  <si>
    <t>ITEM</t>
  </si>
  <si>
    <t>DESCRIÇÃO</t>
  </si>
  <si>
    <t>UNIDADE</t>
  </si>
  <si>
    <t>VALOR</t>
  </si>
  <si>
    <t>UNITÁRIO</t>
  </si>
  <si>
    <t>TOTAL</t>
  </si>
  <si>
    <t>Pessoal</t>
  </si>
  <si>
    <t>1.1</t>
  </si>
  <si>
    <t>Nível Superior</t>
  </si>
  <si>
    <t>1.1.1</t>
  </si>
  <si>
    <t>Consultor Especial ( C )</t>
  </si>
  <si>
    <t>mês</t>
  </si>
  <si>
    <t>C</t>
  </si>
  <si>
    <t>P0</t>
  </si>
  <si>
    <t>P1</t>
  </si>
  <si>
    <t>P2</t>
  </si>
  <si>
    <t>P3</t>
  </si>
  <si>
    <t>P4</t>
  </si>
  <si>
    <t>1.2</t>
  </si>
  <si>
    <t>Nível Técnico</t>
  </si>
  <si>
    <t>1.2.1</t>
  </si>
  <si>
    <t>T0</t>
  </si>
  <si>
    <t>1.2.2</t>
  </si>
  <si>
    <t>Topógrafo / Ch. Posto (T1)</t>
  </si>
  <si>
    <t>T1</t>
  </si>
  <si>
    <t>1.2.3</t>
  </si>
  <si>
    <t>T2</t>
  </si>
  <si>
    <t>T3</t>
  </si>
  <si>
    <t>1.2.5</t>
  </si>
  <si>
    <t>T4</t>
  </si>
  <si>
    <t>1.3</t>
  </si>
  <si>
    <t>1.3.1</t>
  </si>
  <si>
    <t>Ch. Escritório (A0)</t>
  </si>
  <si>
    <t>A0</t>
  </si>
  <si>
    <t>1.3.2</t>
  </si>
  <si>
    <t>A1</t>
  </si>
  <si>
    <t>1.3.3</t>
  </si>
  <si>
    <t>A2</t>
  </si>
  <si>
    <t>(A)</t>
  </si>
  <si>
    <t>Total de Pessoal</t>
  </si>
  <si>
    <t>(B)</t>
  </si>
  <si>
    <t>(C)</t>
  </si>
  <si>
    <t>Despesas</t>
  </si>
  <si>
    <t>2.1</t>
  </si>
  <si>
    <t>(D)</t>
  </si>
  <si>
    <t>Total de Despesas</t>
  </si>
  <si>
    <t>(E)</t>
  </si>
  <si>
    <t>Custos Indiretos</t>
  </si>
  <si>
    <t>1.3.4</t>
  </si>
  <si>
    <t>1.3.5</t>
  </si>
  <si>
    <t>1.4</t>
  </si>
  <si>
    <t>1.4.1</t>
  </si>
  <si>
    <t>1.4.3</t>
  </si>
  <si>
    <t>Consultor (PJ)</t>
  </si>
  <si>
    <t>A3</t>
  </si>
  <si>
    <t>A4</t>
  </si>
  <si>
    <t>Meses</t>
  </si>
  <si>
    <t>Qtde</t>
  </si>
  <si>
    <t>CAT</t>
  </si>
  <si>
    <t>QUALIFICAÇÃO</t>
  </si>
  <si>
    <t>Consultor Especial</t>
  </si>
  <si>
    <t>Coordenador Geral</t>
  </si>
  <si>
    <t>Engenheiro ou Profissional - Experiência Profissional &gt;= 10 anos</t>
  </si>
  <si>
    <t>Experiência Profissional &gt;= 8 anos</t>
  </si>
  <si>
    <t>Profissional Pleno</t>
  </si>
  <si>
    <t>Experiência Profissional &gt;= 5 anos</t>
  </si>
  <si>
    <t>Profissional Junior</t>
  </si>
  <si>
    <t>Experiência Profissional &gt;= 2 anos</t>
  </si>
  <si>
    <t>Formação 3º Grau</t>
  </si>
  <si>
    <t>Técnico Especial</t>
  </si>
  <si>
    <t>2º Grau Completo - Experiência Profissional &gt;= 10 anos</t>
  </si>
  <si>
    <t>Técnico Sênior</t>
  </si>
  <si>
    <t>2º Grau Completo - Experiência Profissional &gt;= 8 anos</t>
  </si>
  <si>
    <t>Técnico Pleno</t>
  </si>
  <si>
    <t>2º Grau Completo - Experiência Profissional &gt;= 5 anos</t>
  </si>
  <si>
    <t>Técnico Junior</t>
  </si>
  <si>
    <t>2º Grau Completo - Experiência Profissional &gt;= 2 anos</t>
  </si>
  <si>
    <t>Técnico Auxiliar</t>
  </si>
  <si>
    <t>Formação - 2º Grau Completo</t>
  </si>
  <si>
    <t>Nível Auxiliar</t>
  </si>
  <si>
    <t>Chefe de Escritório</t>
  </si>
  <si>
    <t>Secretária</t>
  </si>
  <si>
    <t>-</t>
  </si>
  <si>
    <t>Auxiliar de Escritório/ de Campo / Motorista</t>
  </si>
  <si>
    <t>Servente / Contínuos</t>
  </si>
  <si>
    <t>Vigias</t>
  </si>
  <si>
    <t>Profissionais</t>
  </si>
  <si>
    <t>Técnico Pleno (T2)</t>
  </si>
  <si>
    <t>Técnico Júnior (T3)</t>
  </si>
  <si>
    <t>Técnico Auxiliar (T4)</t>
  </si>
  <si>
    <t>QTDE</t>
  </si>
  <si>
    <t>Profissional Sênior</t>
  </si>
  <si>
    <t>UST</t>
  </si>
  <si>
    <t xml:space="preserve">Coordenador Setorial (P0) </t>
  </si>
  <si>
    <t xml:space="preserve">Profissional Pleno (P2) </t>
  </si>
  <si>
    <r>
      <t>Profissional Junior (P3)</t>
    </r>
    <r>
      <rPr>
        <b/>
        <sz val="10"/>
        <rFont val="Arial"/>
        <family val="2"/>
      </rPr>
      <t xml:space="preserve"> </t>
    </r>
  </si>
  <si>
    <r>
      <t>Profissional Sênior (P1)</t>
    </r>
    <r>
      <rPr>
        <b/>
        <sz val="10"/>
        <rFont val="Arial"/>
        <family val="2"/>
      </rPr>
      <t xml:space="preserve"> </t>
    </r>
  </si>
  <si>
    <t>Profissional Auxiliar (P4)</t>
  </si>
  <si>
    <r>
      <t>Técnico Especial (T0)</t>
    </r>
    <r>
      <rPr>
        <b/>
        <sz val="10"/>
        <rFont val="Arial"/>
        <family val="2"/>
      </rPr>
      <t xml:space="preserve"> </t>
    </r>
  </si>
  <si>
    <t>Dias Úteis</t>
  </si>
  <si>
    <t>Estudos</t>
  </si>
  <si>
    <t>Tráfego</t>
  </si>
  <si>
    <t>Geométrico</t>
  </si>
  <si>
    <t>Terraplenagem</t>
  </si>
  <si>
    <t>Drenagem e OAC</t>
  </si>
  <si>
    <t>Pavimentação</t>
  </si>
  <si>
    <t>Sinalização</t>
  </si>
  <si>
    <t>Vr. Unitário</t>
  </si>
  <si>
    <t>Vr. Total</t>
  </si>
  <si>
    <t>Traçado</t>
  </si>
  <si>
    <t>Interferências</t>
  </si>
  <si>
    <t>Rural</t>
  </si>
  <si>
    <t>Meio Ambiente:</t>
  </si>
  <si>
    <t>Dias</t>
  </si>
  <si>
    <t>Salário
 Base</t>
  </si>
  <si>
    <t>Dias Úteis no Mês:</t>
  </si>
  <si>
    <t>Ondulado</t>
  </si>
  <si>
    <t>Média</t>
  </si>
  <si>
    <t>PC</t>
  </si>
  <si>
    <t>2.3</t>
  </si>
  <si>
    <t>COMPOSIÇÃO DE PREÇO REFERENCIAL</t>
  </si>
  <si>
    <t>Topografia:</t>
  </si>
  <si>
    <t>Geología/Geotecnia:</t>
  </si>
  <si>
    <t>PRODUTOS</t>
  </si>
  <si>
    <t>UNID</t>
  </si>
  <si>
    <t>VALORES (R$)</t>
  </si>
  <si>
    <t>Iluminação</t>
  </si>
  <si>
    <t>Veículo Sedan - 71 a 115 CV</t>
  </si>
  <si>
    <t>Veículo Caminhonete - 71 a 115 CV</t>
  </si>
  <si>
    <t>Caminhão para Viga Benkelman</t>
  </si>
  <si>
    <t>Instrumental de Topografia</t>
  </si>
  <si>
    <t>GPS</t>
  </si>
  <si>
    <t>Viga Benkelman</t>
  </si>
  <si>
    <t>Laboratório de Solos</t>
  </si>
  <si>
    <t>Laboratório de Betume</t>
  </si>
  <si>
    <t>Equipamento completo p/ uma equipe</t>
  </si>
  <si>
    <t>Equipamento de precisão</t>
  </si>
  <si>
    <t>Equip. completo p/ laboratório e campo</t>
  </si>
  <si>
    <t>Incluindo todos softwares necessários</t>
  </si>
  <si>
    <t>Incluindo motorista e carga aferida</t>
  </si>
  <si>
    <t>Auxiliar de Escritório, de Campo ou Motorista</t>
  </si>
  <si>
    <t>Servente ou Contínuos</t>
  </si>
  <si>
    <t>Notebook ou Desktop completo</t>
  </si>
  <si>
    <t>Relatório Preliminar</t>
  </si>
  <si>
    <t>Hidrológicos</t>
  </si>
  <si>
    <t>Geológicos e Geotécnicos</t>
  </si>
  <si>
    <t>Topográficos</t>
  </si>
  <si>
    <t>Estabilidade de Taludes</t>
  </si>
  <si>
    <t>Obras Complementares</t>
  </si>
  <si>
    <t>Contenção ou Estabilização de Talude</t>
  </si>
  <si>
    <t>Relatório Ambiental Simplificado - RAS</t>
  </si>
  <si>
    <t>Inventário Florestal</t>
  </si>
  <si>
    <t>Componente Ambiental</t>
  </si>
  <si>
    <t>Plano de Controle Ambiental - PCA</t>
  </si>
  <si>
    <t>Projetos
(Básico e/ou Executivo)</t>
  </si>
  <si>
    <t>Estudos Ambientais</t>
  </si>
  <si>
    <t>Plano de Controle Ambiental Simplificado - PCAS</t>
  </si>
  <si>
    <t>Orçamento</t>
  </si>
  <si>
    <t>Plano de Execução</t>
  </si>
  <si>
    <t>Impressão Definitiva - Projeto Final</t>
  </si>
  <si>
    <t>2.2</t>
  </si>
  <si>
    <t>2.4</t>
  </si>
  <si>
    <t>2.5</t>
  </si>
  <si>
    <t>2.6</t>
  </si>
  <si>
    <t>2.7</t>
  </si>
  <si>
    <t>2.8</t>
  </si>
  <si>
    <t>2.9</t>
  </si>
  <si>
    <t>Avaliação Funcional e Estrutural de Pavimento</t>
  </si>
  <si>
    <t>IT</t>
  </si>
  <si>
    <t>GP</t>
  </si>
  <si>
    <t>VB</t>
  </si>
  <si>
    <t>LS</t>
  </si>
  <si>
    <t>LB</t>
  </si>
  <si>
    <t>VS</t>
  </si>
  <si>
    <t>VC</t>
  </si>
  <si>
    <t>CV</t>
  </si>
  <si>
    <t>Obras de Arte Especiais - OAE</t>
  </si>
  <si>
    <t>Referência Implantação/Pavimentação
(Pista Dupla ou Simples)</t>
  </si>
  <si>
    <t>Desapropriação</t>
  </si>
  <si>
    <t>Interseções, Retornos, Acessos e Pontos de Parada</t>
  </si>
  <si>
    <t>Paisagismo</t>
  </si>
  <si>
    <t>Plano Funcional</t>
  </si>
  <si>
    <t>Projeto de Gerenciamento de Resíduos da Construção Civil</t>
  </si>
  <si>
    <t>(E1)</t>
  </si>
  <si>
    <t>(E2)</t>
  </si>
  <si>
    <t>SUBTOTAL 1 (S1 = A+B+C+D)</t>
  </si>
  <si>
    <t>SUBTOTAL 2 (S2 = S1 + E1)</t>
  </si>
  <si>
    <t>Produto 02: Análise Técnica de Projetos de Obras de Infraestrutura de Transportes</t>
  </si>
  <si>
    <t>Mês</t>
  </si>
  <si>
    <t>Profissional com, no mínimo, Doutorado na área de interesse, e/ou Experiência Profissional &gt;= 15 anos</t>
  </si>
  <si>
    <t>Avaliação Econômica</t>
  </si>
  <si>
    <t>Serviço/Estudo a ser Analisado</t>
  </si>
  <si>
    <t>PROFISSIONAIS</t>
  </si>
  <si>
    <t>MESES</t>
  </si>
  <si>
    <t>TOTAL GERAL DE CUSTOS FIXOS P/ REFERÊNCIA DE 20 KM (S2 + E2)</t>
  </si>
  <si>
    <t>Referência Reabilitação / Restauração
(com ou sem Requalificação da Via)</t>
  </si>
  <si>
    <t>COMPOSIÇÃO DE PREÇO DA ANÁLISE DE PROJETO DE IMPLANTAÇÃO / PAVIMENTAÇÃO (PISTA SIMPLES OU DUPLA) - BASE REFERENCIAL</t>
  </si>
  <si>
    <t>TIPO DE PROJETO</t>
  </si>
  <si>
    <t>QUANTIDADE PREVISTA (KM)</t>
  </si>
  <si>
    <t>CUSTOS DE REFERÊNCIA POR KM</t>
  </si>
  <si>
    <t>CUSTO 
POR KM (R$)</t>
  </si>
  <si>
    <t>CUSTO 
TOTAL (R$)</t>
  </si>
  <si>
    <t>(S1)</t>
  </si>
  <si>
    <t>(S2)</t>
  </si>
  <si>
    <t>TOTAL GERAL DE CUSTOS FIXOS (S2 + E2) POR MÊS</t>
  </si>
  <si>
    <t>Referência Duplicação / 
Adequação de Capacidade 
(inclui Restauração da Via)</t>
  </si>
  <si>
    <t>PRODUTO 1 – APOIO TÉCNICO ÀS ATIVIDADES GERENCIAIS</t>
  </si>
  <si>
    <t>COMPOSIÇÃO DE PREÇO DA ANÁLISE DE PROJETO DE REABILITAÇÃO/RESTAURAÇÃO
(COM OU SEM REQUALIFICAÇÃO DA VIA) - BASE REFERENCIAL</t>
  </si>
  <si>
    <t>COMPOSIÇÃO DE PREÇO DA ANÁLISE DE PROJETO DE DUPLICAÇÃO / ADEQUAÇÃO DE CAPACIDADE (INCLUI RESTAURAÇÃO DA VIA) - BASE REFERENCIAL</t>
  </si>
  <si>
    <t>Produto 01: Apoio Técnico às Atividades Gerenciais</t>
  </si>
  <si>
    <t>Ações Recorrentes - Mensal</t>
  </si>
  <si>
    <t>Encargos Sociais</t>
  </si>
  <si>
    <t>Custos Administrativos</t>
  </si>
  <si>
    <t>Remuneração da Empresa</t>
  </si>
  <si>
    <t>DEMAIS CUSTOS</t>
  </si>
  <si>
    <t>Despesas Fiscais</t>
  </si>
  <si>
    <t>Despesas Fiscais (E2 = % de S2)</t>
  </si>
  <si>
    <t>Remuneração da Empresas (E1 = % de S1)</t>
  </si>
  <si>
    <t>Extenção Referêncial para preenchimento (km):</t>
  </si>
  <si>
    <t>Localização:</t>
  </si>
  <si>
    <t>Demais fatores referenciais</t>
  </si>
  <si>
    <t>Tipo</t>
  </si>
  <si>
    <t>Fator</t>
  </si>
  <si>
    <t>VALOR DA PROPOSTA (R$)</t>
  </si>
  <si>
    <t>DESCONTO OFERECIDO (%)</t>
  </si>
  <si>
    <t>Demais Profissionais e Técnicos</t>
  </si>
  <si>
    <t xml:space="preserve">Profissional Auxiliar </t>
  </si>
  <si>
    <t>(considerar esforço necessário em dias úteis despendido para análise de projeto referência com 20 km de extensão)</t>
  </si>
  <si>
    <t>PREÇO MÁXIMO DO EDITAL (R$)</t>
  </si>
  <si>
    <t>Reabilitação / Restauração (com ou sem Requalificação da Via)</t>
  </si>
  <si>
    <t>Duplicação / Adequação de Capacidade (incluí Restauração da Via)</t>
  </si>
  <si>
    <t>Implantação/Pavimentação (Pista Dupla ou Simples)</t>
  </si>
  <si>
    <t>PRODUTO 2 - CÁLCULO DO CUSTO TOTAL DO PRODUTO 2</t>
  </si>
  <si>
    <t>ORÇAMENTO PARA PROPOSTA DE PREÇOS</t>
  </si>
  <si>
    <t>PARA PREENCHIMENTO PELOS PROPONENTES</t>
  </si>
  <si>
    <t>TABELA DE PREÇOS DE CONSULTORIA</t>
  </si>
  <si>
    <t>ALTERAR CAMPOS EM VERDE</t>
  </si>
  <si>
    <t>PRODUTO 2 - ANÁLISE DE PROJETOS DE OBRA DE INFRAESTRUTURA RODOVIÁRIA</t>
  </si>
  <si>
    <t>CÁLCULO DE ESFORÇO PARA ANÁLISE DE PROJETOS POR FASE E DISCIPLINA</t>
  </si>
  <si>
    <t>VALORES PARA PREENCHIMENTO DA PROPOSTA DE PREÇO EM LARANJA</t>
  </si>
  <si>
    <t>SALÁRIO
PROPOSTO
PELA 
PROPONENTE</t>
  </si>
  <si>
    <t>% PROPOSTO 
PELA PROPOMEMTE</t>
  </si>
  <si>
    <t>% MÁXIMO
PERMITIDO</t>
  </si>
  <si>
    <t>SALÁRIO
MÁXIMO
PERMITIDO
(DNIT - julho/2020)</t>
  </si>
  <si>
    <t>ANO 1</t>
  </si>
  <si>
    <t>ANO 2</t>
  </si>
  <si>
    <t>MÊS1</t>
  </si>
  <si>
    <t>MÊS2</t>
  </si>
  <si>
    <t>MÊS3</t>
  </si>
  <si>
    <t>MÊS4</t>
  </si>
  <si>
    <t>MÊS5</t>
  </si>
  <si>
    <t>MÊS6</t>
  </si>
  <si>
    <t>MÊS7</t>
  </si>
  <si>
    <t>MÊS8</t>
  </si>
  <si>
    <t>MÊS9</t>
  </si>
  <si>
    <t>MÊS10</t>
  </si>
  <si>
    <t>MÊS11</t>
  </si>
  <si>
    <t>MÊS12</t>
  </si>
  <si>
    <t>Produto 01: Apoio Técnico as Atividades Gerenciais</t>
  </si>
  <si>
    <t>Implantação/Pavimentação
(Pista Dupla ou Simples)</t>
  </si>
  <si>
    <t>Projeto Executivo de Engenharia de Implantação do Corredor Metropolitano, Desenvolvido especificamente no subtrecho C.2b, segmento entre a BR-116 (Est. 995=PP Curitiba) e a BR-476 (Est.1463+16,71 Araucária), com extensão total de 9.376,71 m</t>
  </si>
  <si>
    <t>Projeto Executivo para Pavimentação das Estradas Rurais de Ligação entre São José dos Pinhais e Mandirituba, iniciando em São José dos Pinhais na Rua Pedro Buhrer, a 100 m da Rua Antônio Singer, seguindo pelas ruas Arcioto Claudino Barbosa, Domingos Benvenuto Moleta e Vereador Benvenuto Moleta, terminando no entroncamento com a Estrada Gilberto Palú, em Madirituba, na Região Metropolitana de Curitiba, com extensão total de 26,61 km</t>
  </si>
  <si>
    <t>Duplicação / Adequação de Capacidade 
(incluí Restauração da Via)</t>
  </si>
  <si>
    <t>Projeto Executivo de Engenharia para Duplicação, Restauração e Implantação de Interseções em Desnível, Passarelas e Vias Marginais na PR-423, trecho BR-476 (Araucária) - BR-277 (pista sentido oeste - Campo Largo), com extensão aproximada de 28,00 km</t>
  </si>
  <si>
    <t>Projeto Executivo de Engenharia para Duplicação, Restauração e Implantação de Interseções em Desnível, Passarelas e Vias Marginais na PR-418 (Contorno Norte de Curitiba), trecho BR-277 (Curitiba) - PR-417 (Colombo), com extensão total de 21,84 km</t>
  </si>
  <si>
    <t>TOTAL MENSAL (R$)</t>
  </si>
  <si>
    <t>ACUMULADO MENSAL (R$)</t>
  </si>
  <si>
    <t>CRONOGRAMA FINANCEIRO -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</si>
</sst>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"/>
    <numFmt numFmtId="165" formatCode="_-* #,##0.0000_-;\-* #,##0.0000_-;_-* &quot;-&quot;??_-;_-@_-"/>
    <numFmt numFmtId="166" formatCode="#,##0_ ;\-#,##0\ "/>
    <numFmt numFmtId="167" formatCode="#,##0.0_ ;\-#,##0.0\ "/>
    <numFmt numFmtId="168" formatCode="_-* #,##0_-;\-* #,##0_-;_-* &quot;-&quot;??_-;_-@_-"/>
    <numFmt numFmtId="169" formatCode="0.000"/>
    <numFmt numFmtId="170" formatCode="#,##0.000_ ;\-#,##0.0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2" applyFont="1" applyAlignment="1">
      <alignment horizontal="left"/>
    </xf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17" fontId="5" fillId="0" borderId="0" xfId="2" applyNumberFormat="1" applyFont="1"/>
    <xf numFmtId="0" fontId="2" fillId="0" borderId="0" xfId="2"/>
    <xf numFmtId="0" fontId="5" fillId="0" borderId="0" xfId="2" applyFont="1"/>
    <xf numFmtId="0" fontId="2" fillId="0" borderId="5" xfId="2" applyFill="1" applyBorder="1" applyAlignment="1">
      <alignment horizontal="center"/>
    </xf>
    <xf numFmtId="0" fontId="2" fillId="0" borderId="5" xfId="2" applyFill="1" applyBorder="1"/>
    <xf numFmtId="43" fontId="2" fillId="0" borderId="5" xfId="1" applyFont="1" applyFill="1" applyBorder="1"/>
    <xf numFmtId="0" fontId="2" fillId="0" borderId="0" xfId="2" applyBorder="1"/>
    <xf numFmtId="0" fontId="5" fillId="0" borderId="5" xfId="2" applyFont="1" applyFill="1" applyBorder="1" applyAlignment="1">
      <alignment horizontal="center"/>
    </xf>
    <xf numFmtId="43" fontId="5" fillId="0" borderId="5" xfId="1" applyFont="1" applyFill="1" applyBorder="1"/>
    <xf numFmtId="0" fontId="5" fillId="0" borderId="5" xfId="2" applyFont="1" applyFill="1" applyBorder="1"/>
    <xf numFmtId="43" fontId="5" fillId="0" borderId="3" xfId="1" applyFont="1" applyFill="1" applyBorder="1"/>
    <xf numFmtId="0" fontId="2" fillId="0" borderId="8" xfId="2" applyFill="1" applyBorder="1"/>
    <xf numFmtId="0" fontId="2" fillId="0" borderId="3" xfId="2" applyFill="1" applyBorder="1"/>
    <xf numFmtId="4" fontId="5" fillId="0" borderId="5" xfId="2" applyNumberFormat="1" applyFont="1" applyFill="1" applyBorder="1"/>
    <xf numFmtId="0" fontId="2" fillId="0" borderId="2" xfId="2" applyFill="1" applyBorder="1"/>
    <xf numFmtId="43" fontId="5" fillId="0" borderId="5" xfId="2" applyNumberFormat="1" applyFont="1" applyFill="1" applyBorder="1"/>
    <xf numFmtId="4" fontId="5" fillId="0" borderId="0" xfId="2" applyNumberFormat="1" applyFont="1"/>
    <xf numFmtId="43" fontId="5" fillId="0" borderId="3" xfId="2" applyNumberFormat="1" applyFont="1" applyFill="1" applyBorder="1"/>
    <xf numFmtId="4" fontId="2" fillId="0" borderId="0" xfId="2" applyNumberFormat="1"/>
    <xf numFmtId="168" fontId="5" fillId="0" borderId="3" xfId="2" applyNumberFormat="1" applyFont="1" applyFill="1" applyBorder="1"/>
    <xf numFmtId="0" fontId="2" fillId="0" borderId="0" xfId="2" applyFill="1"/>
    <xf numFmtId="43" fontId="2" fillId="0" borderId="0" xfId="2" applyNumberFormat="1"/>
    <xf numFmtId="0" fontId="2" fillId="0" borderId="6" xfId="2" applyFill="1" applyBorder="1"/>
    <xf numFmtId="0" fontId="2" fillId="0" borderId="0" xfId="2" applyFill="1" applyBorder="1"/>
    <xf numFmtId="0" fontId="2" fillId="0" borderId="7" xfId="2" applyFill="1" applyBorder="1"/>
    <xf numFmtId="0" fontId="2" fillId="0" borderId="5" xfId="2" applyFont="1" applyFill="1" applyBorder="1"/>
    <xf numFmtId="0" fontId="2" fillId="0" borderId="2" xfId="2" applyFill="1" applyBorder="1" applyAlignment="1">
      <alignment horizontal="center"/>
    </xf>
    <xf numFmtId="0" fontId="2" fillId="0" borderId="0" xfId="2" applyAlignment="1">
      <alignment horizontal="center" vertical="center"/>
    </xf>
    <xf numFmtId="0" fontId="2" fillId="0" borderId="0" xfId="2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2" fillId="0" borderId="5" xfId="2" applyBorder="1" applyAlignment="1">
      <alignment horizontal="center" vertical="center" wrapText="1"/>
    </xf>
    <xf numFmtId="0" fontId="2" fillId="0" borderId="5" xfId="2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/>
    </xf>
    <xf numFmtId="0" fontId="5" fillId="2" borderId="5" xfId="2" applyFont="1" applyFill="1" applyBorder="1"/>
    <xf numFmtId="0" fontId="2" fillId="2" borderId="5" xfId="2" applyFill="1" applyBorder="1"/>
    <xf numFmtId="0" fontId="2" fillId="2" borderId="5" xfId="2" applyFill="1" applyBorder="1" applyAlignment="1">
      <alignment horizontal="center"/>
    </xf>
    <xf numFmtId="43" fontId="2" fillId="2" borderId="5" xfId="1" applyFont="1" applyFill="1" applyBorder="1"/>
    <xf numFmtId="167" fontId="2" fillId="2" borderId="5" xfId="1" applyNumberFormat="1" applyFont="1" applyFill="1" applyBorder="1"/>
    <xf numFmtId="167" fontId="2" fillId="2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5" xfId="2" applyFill="1" applyBorder="1" applyAlignment="1">
      <alignment horizontal="left" vertical="center" wrapText="1"/>
    </xf>
    <xf numFmtId="0" fontId="2" fillId="0" borderId="2" xfId="2" applyFill="1" applyBorder="1" applyAlignment="1">
      <alignment horizontal="center"/>
    </xf>
    <xf numFmtId="0" fontId="5" fillId="0" borderId="5" xfId="2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/>
    </xf>
    <xf numFmtId="0" fontId="5" fillId="0" borderId="5" xfId="2" applyFont="1" applyFill="1" applyBorder="1" applyAlignment="1">
      <alignment horizontal="center" vertical="center"/>
    </xf>
    <xf numFmtId="43" fontId="0" fillId="0" borderId="0" xfId="0" applyNumberFormat="1"/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2" applyFont="1"/>
    <xf numFmtId="10" fontId="2" fillId="0" borderId="0" xfId="4" applyNumberFormat="1" applyFont="1" applyFill="1" applyBorder="1"/>
    <xf numFmtId="4" fontId="3" fillId="0" borderId="5" xfId="2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Font="1"/>
    <xf numFmtId="43" fontId="2" fillId="0" borderId="0" xfId="1" applyFont="1" applyFill="1" applyBorder="1"/>
    <xf numFmtId="0" fontId="5" fillId="0" borderId="0" xfId="2" applyFont="1" applyFill="1" applyBorder="1"/>
    <xf numFmtId="43" fontId="5" fillId="0" borderId="0" xfId="1" applyFont="1" applyFill="1" applyBorder="1"/>
    <xf numFmtId="10" fontId="5" fillId="0" borderId="0" xfId="4" applyNumberFormat="1" applyFont="1" applyFill="1" applyBorder="1"/>
    <xf numFmtId="0" fontId="5" fillId="0" borderId="0" xfId="2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2" fillId="0" borderId="5" xfId="2" applyBorder="1" applyAlignment="1">
      <alignment horizontal="left" vertical="center"/>
    </xf>
    <xf numFmtId="0" fontId="10" fillId="0" borderId="0" xfId="2" applyFont="1" applyAlignment="1">
      <alignment vertical="center"/>
    </xf>
    <xf numFmtId="0" fontId="8" fillId="0" borderId="0" xfId="2" applyFont="1" applyBorder="1"/>
    <xf numFmtId="167" fontId="2" fillId="0" borderId="0" xfId="2" applyNumberFormat="1" applyFill="1" applyBorder="1"/>
    <xf numFmtId="167" fontId="2" fillId="0" borderId="5" xfId="1" applyNumberFormat="1" applyFont="1" applyFill="1" applyBorder="1"/>
    <xf numFmtId="170" fontId="2" fillId="0" borderId="5" xfId="1" applyNumberFormat="1" applyFont="1" applyFill="1" applyBorder="1" applyAlignment="1">
      <alignment horizontal="center"/>
    </xf>
    <xf numFmtId="170" fontId="2" fillId="2" borderId="5" xfId="1" applyNumberFormat="1" applyFont="1" applyFill="1" applyBorder="1"/>
    <xf numFmtId="170" fontId="2" fillId="2" borderId="5" xfId="1" applyNumberFormat="1" applyFont="1" applyFill="1" applyBorder="1" applyAlignment="1">
      <alignment horizontal="center"/>
    </xf>
    <xf numFmtId="0" fontId="2" fillId="0" borderId="2" xfId="2" applyFill="1" applyBorder="1" applyAlignment="1">
      <alignment horizontal="center"/>
    </xf>
    <xf numFmtId="0" fontId="2" fillId="0" borderId="8" xfId="2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2" fontId="0" fillId="0" borderId="0" xfId="0" applyNumberFormat="1"/>
    <xf numFmtId="0" fontId="2" fillId="0" borderId="2" xfId="2" applyFill="1" applyBorder="1" applyAlignment="1">
      <alignment horizontal="center"/>
    </xf>
    <xf numFmtId="0" fontId="2" fillId="0" borderId="8" xfId="2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2" fillId="0" borderId="5" xfId="2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12" fillId="0" borderId="5" xfId="1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43" fontId="5" fillId="0" borderId="8" xfId="2" applyNumberFormat="1" applyFont="1" applyFill="1" applyBorder="1"/>
    <xf numFmtId="2" fontId="3" fillId="0" borderId="0" xfId="2" applyNumberFormat="1" applyFont="1" applyBorder="1" applyAlignment="1">
      <alignment horizontal="center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4" fontId="13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3" fontId="13" fillId="0" borderId="0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2" fillId="0" borderId="0" xfId="2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right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/>
    </xf>
    <xf numFmtId="0" fontId="2" fillId="0" borderId="8" xfId="2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0" fontId="2" fillId="0" borderId="2" xfId="2" applyBorder="1" applyAlignment="1">
      <alignment vertical="center"/>
    </xf>
    <xf numFmtId="0" fontId="2" fillId="0" borderId="3" xfId="2" applyBorder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4" fontId="15" fillId="0" borderId="5" xfId="0" applyNumberFormat="1" applyFont="1" applyFill="1" applyBorder="1" applyAlignment="1">
      <alignment vertical="center" wrapText="1"/>
    </xf>
    <xf numFmtId="17" fontId="5" fillId="0" borderId="0" xfId="2" applyNumberFormat="1" applyFont="1" applyProtection="1">
      <protection locked="0"/>
    </xf>
    <xf numFmtId="0" fontId="2" fillId="2" borderId="5" xfId="2" applyFill="1" applyBorder="1" applyProtection="1">
      <protection locked="0"/>
    </xf>
    <xf numFmtId="0" fontId="2" fillId="2" borderId="5" xfId="2" applyFill="1" applyBorder="1" applyAlignment="1" applyProtection="1">
      <alignment horizontal="center"/>
      <protection locked="0"/>
    </xf>
    <xf numFmtId="43" fontId="2" fillId="4" borderId="5" xfId="1" applyFont="1" applyFill="1" applyBorder="1" applyAlignment="1" applyProtection="1">
      <alignment horizontal="center" vertical="center" wrapText="1"/>
      <protection locked="0"/>
    </xf>
    <xf numFmtId="10" fontId="2" fillId="4" borderId="5" xfId="2" applyNumberForma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right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170" fontId="2" fillId="4" borderId="5" xfId="2" applyNumberFormat="1" applyFill="1" applyBorder="1" applyAlignment="1" applyProtection="1">
      <alignment horizontal="center"/>
      <protection locked="0"/>
    </xf>
    <xf numFmtId="170" fontId="2" fillId="4" borderId="5" xfId="1" applyNumberFormat="1" applyFont="1" applyFill="1" applyBorder="1" applyAlignment="1" applyProtection="1">
      <alignment horizontal="center"/>
      <protection locked="0"/>
    </xf>
    <xf numFmtId="169" fontId="2" fillId="4" borderId="5" xfId="2" applyNumberFormat="1" applyFill="1" applyBorder="1" applyAlignment="1" applyProtection="1">
      <alignment horizontal="center"/>
      <protection locked="0"/>
    </xf>
    <xf numFmtId="170" fontId="2" fillId="4" borderId="5" xfId="1" applyNumberFormat="1" applyFont="1" applyFill="1" applyBorder="1" applyProtection="1">
      <protection locked="0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5" fillId="7" borderId="5" xfId="0" applyNumberFormat="1" applyFont="1" applyFill="1" applyBorder="1" applyAlignment="1">
      <alignment vertical="center" wrapText="1"/>
    </xf>
    <xf numFmtId="166" fontId="2" fillId="0" borderId="5" xfId="2" applyNumberFormat="1" applyFill="1" applyBorder="1" applyAlignment="1" applyProtection="1">
      <alignment horizontal="center"/>
    </xf>
    <xf numFmtId="0" fontId="2" fillId="0" borderId="5" xfId="2" applyFill="1" applyBorder="1" applyProtection="1"/>
    <xf numFmtId="0" fontId="2" fillId="0" borderId="5" xfId="2" applyFill="1" applyBorder="1" applyAlignment="1" applyProtection="1">
      <alignment horizontal="center"/>
    </xf>
    <xf numFmtId="166" fontId="2" fillId="4" borderId="5" xfId="2" applyNumberFormat="1" applyFill="1" applyBorder="1" applyAlignment="1" applyProtection="1">
      <alignment horizontal="center"/>
      <protection locked="0"/>
    </xf>
    <xf numFmtId="0" fontId="5" fillId="3" borderId="5" xfId="2" applyFont="1" applyFill="1" applyBorder="1" applyAlignment="1">
      <alignment horizontal="center" vertical="center" wrapText="1"/>
    </xf>
    <xf numFmtId="43" fontId="2" fillId="0" borderId="5" xfId="1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10" fontId="2" fillId="0" borderId="5" xfId="2" applyNumberForma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4" fontId="0" fillId="0" borderId="0" xfId="0" applyNumberFormat="1"/>
    <xf numFmtId="0" fontId="13" fillId="0" borderId="5" xfId="0" applyFont="1" applyFill="1" applyBorder="1" applyAlignment="1">
      <alignment horizontal="distributed" vertical="center" wrapText="1" indent="1"/>
    </xf>
    <xf numFmtId="0" fontId="0" fillId="0" borderId="5" xfId="0" applyBorder="1"/>
    <xf numFmtId="4" fontId="0" fillId="0" borderId="5" xfId="0" applyNumberFormat="1" applyFill="1" applyBorder="1" applyAlignment="1">
      <alignment horizontal="center" vertical="center"/>
    </xf>
    <xf numFmtId="43" fontId="0" fillId="0" borderId="5" xfId="0" applyNumberFormat="1" applyFill="1" applyBorder="1"/>
    <xf numFmtId="0" fontId="15" fillId="3" borderId="13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2" fillId="0" borderId="5" xfId="2" applyBorder="1" applyAlignment="1">
      <alignment horizontal="left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16" fillId="6" borderId="0" xfId="2" applyFont="1" applyFill="1" applyAlignment="1">
      <alignment horizont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2" xfId="2" applyFill="1" applyBorder="1" applyAlignment="1">
      <alignment horizontal="center"/>
    </xf>
    <xf numFmtId="0" fontId="2" fillId="0" borderId="8" xfId="2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2" xfId="2" applyFont="1" applyFill="1" applyBorder="1" applyAlignment="1"/>
    <xf numFmtId="0" fontId="5" fillId="0" borderId="8" xfId="2" applyFont="1" applyFill="1" applyBorder="1" applyAlignment="1"/>
    <xf numFmtId="0" fontId="5" fillId="0" borderId="3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/>
    </xf>
    <xf numFmtId="43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6" borderId="0" xfId="2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0" fillId="0" borderId="0" xfId="2" applyFont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6">
    <cellStyle name="Moeda 2" xfId="5"/>
    <cellStyle name="Normal" xfId="0" builtinId="0"/>
    <cellStyle name="Normal 2" xfId="2"/>
    <cellStyle name="Porcentagem" xfId="4" builtinId="5"/>
    <cellStyle name="Separador de milhares 2" xfId="3"/>
    <cellStyle name="Vírgula" xfId="1" builtinId="3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nato_Dados_Vr_Wxp\DNIT\Calib_HDM\NovoProcesso_50600015149_2010_82\CustoCalibracaoHDM_Rev_0309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Planilha Edital"/>
      <sheetName val="Memoria_Campo"/>
      <sheetName val="Lev. de Campo - 1°"/>
      <sheetName val="Lev. de Campo - 2°4°"/>
      <sheetName val="Lev. de Campo - 3°5°"/>
      <sheetName val="Produtos"/>
      <sheetName val="Cronograma Fisico"/>
      <sheetName val="Cronograma"/>
      <sheetName val="Orçamento_BIRD"/>
      <sheetName val="Cronograma Fisico Financeiro"/>
    </sheetNames>
    <sheetDataSet>
      <sheetData sheetId="0">
        <row r="2">
          <cell r="A2" t="str">
            <v>Encargos Sociais = 88,04 % de (A)</v>
          </cell>
          <cell r="B2">
            <v>0.88039999999999996</v>
          </cell>
        </row>
        <row r="3">
          <cell r="B3">
            <v>0.5</v>
          </cell>
        </row>
        <row r="4">
          <cell r="B4">
            <v>0.12</v>
          </cell>
        </row>
        <row r="5">
          <cell r="B5">
            <v>0.16619999999999999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41"/>
  <sheetViews>
    <sheetView showGridLines="0" tabSelected="1" zoomScale="85" zoomScaleNormal="85" workbookViewId="0">
      <selection activeCell="G12" sqref="G12"/>
    </sheetView>
  </sheetViews>
  <sheetFormatPr defaultColWidth="9.140625" defaultRowHeight="12.75" x14ac:dyDescent="0.2"/>
  <cols>
    <col min="1" max="1" width="2" style="5" customWidth="1"/>
    <col min="2" max="2" width="12" style="5" customWidth="1"/>
    <col min="3" max="3" width="5" style="5" bestFit="1" customWidth="1"/>
    <col min="4" max="4" width="28.140625" style="5" customWidth="1"/>
    <col min="5" max="5" width="59.5703125" style="5" customWidth="1"/>
    <col min="6" max="7" width="22.42578125" style="5" customWidth="1"/>
    <col min="8" max="8" width="9.140625" style="5" hidden="1" customWidth="1"/>
    <col min="9" max="9" width="41.140625" style="5" customWidth="1"/>
    <col min="10" max="11" width="9.140625" style="5"/>
    <col min="12" max="12" width="12.85546875" style="5" bestFit="1" customWidth="1"/>
    <col min="13" max="16384" width="9.140625" style="5"/>
  </cols>
  <sheetData>
    <row r="1" spans="2:10" ht="16.5" customHeight="1" x14ac:dyDescent="0.25">
      <c r="B1" s="177" t="s">
        <v>237</v>
      </c>
      <c r="C1" s="177"/>
      <c r="D1" s="177"/>
      <c r="E1" s="177"/>
      <c r="F1" s="177"/>
      <c r="G1" s="177"/>
    </row>
    <row r="2" spans="2:10" ht="16.5" customHeight="1" x14ac:dyDescent="0.25">
      <c r="B2" s="177" t="s">
        <v>236</v>
      </c>
      <c r="C2" s="177"/>
      <c r="D2" s="177"/>
      <c r="E2" s="177"/>
      <c r="F2" s="177"/>
      <c r="G2" s="177"/>
    </row>
    <row r="3" spans="2:10" ht="16.5" customHeight="1" x14ac:dyDescent="0.2">
      <c r="B3" s="185" t="s">
        <v>238</v>
      </c>
      <c r="C3" s="185"/>
      <c r="D3" s="185"/>
      <c r="E3" s="185"/>
      <c r="F3" s="185"/>
      <c r="G3" s="185"/>
    </row>
    <row r="4" spans="2:10" ht="16.5" hidden="1" customHeight="1" x14ac:dyDescent="0.25">
      <c r="B4" s="111"/>
      <c r="C4" s="111"/>
      <c r="D4" s="111"/>
      <c r="E4" s="111"/>
      <c r="F4" s="111"/>
      <c r="G4" s="148"/>
    </row>
    <row r="5" spans="2:10" ht="16.5" hidden="1" customHeight="1" x14ac:dyDescent="0.2">
      <c r="B5" s="113" t="s">
        <v>0</v>
      </c>
      <c r="C5" s="113"/>
      <c r="D5" s="112"/>
      <c r="E5" s="112"/>
      <c r="F5" s="114" t="s">
        <v>1</v>
      </c>
      <c r="G5" s="114" t="s">
        <v>1</v>
      </c>
      <c r="J5" s="10"/>
    </row>
    <row r="6" spans="2:10" s="31" customFormat="1" ht="48" customHeight="1" x14ac:dyDescent="0.25">
      <c r="B6" s="183" t="s">
        <v>2</v>
      </c>
      <c r="C6" s="183" t="s">
        <v>60</v>
      </c>
      <c r="D6" s="183" t="s">
        <v>3</v>
      </c>
      <c r="E6" s="183" t="s">
        <v>61</v>
      </c>
      <c r="F6" s="183" t="s">
        <v>242</v>
      </c>
      <c r="G6" s="183" t="s">
        <v>245</v>
      </c>
      <c r="I6" s="189"/>
      <c r="J6" s="32"/>
    </row>
    <row r="7" spans="2:10" s="31" customFormat="1" ht="57.75" customHeight="1" x14ac:dyDescent="0.25">
      <c r="B7" s="184"/>
      <c r="C7" s="184"/>
      <c r="D7" s="184"/>
      <c r="E7" s="184"/>
      <c r="F7" s="184"/>
      <c r="G7" s="184"/>
      <c r="I7" s="189"/>
      <c r="J7" s="33"/>
    </row>
    <row r="8" spans="2:10" s="31" customFormat="1" ht="25.5" x14ac:dyDescent="0.25">
      <c r="B8" s="180" t="s">
        <v>10</v>
      </c>
      <c r="C8" s="115" t="s">
        <v>14</v>
      </c>
      <c r="D8" s="44" t="s">
        <v>62</v>
      </c>
      <c r="E8" s="35" t="s">
        <v>191</v>
      </c>
      <c r="F8" s="136">
        <v>21182.87</v>
      </c>
      <c r="G8" s="164">
        <v>21182.87</v>
      </c>
      <c r="H8" s="31" t="s">
        <v>14</v>
      </c>
      <c r="I8" s="31" t="str">
        <f t="shared" ref="I8:I32" si="0">IF(F8&gt;G8,"ERRO, valor superior ao máximo permitido","")</f>
        <v/>
      </c>
      <c r="J8" s="33"/>
    </row>
    <row r="9" spans="2:10" s="31" customFormat="1" ht="17.25" customHeight="1" x14ac:dyDescent="0.25">
      <c r="B9" s="181"/>
      <c r="C9" s="116" t="s">
        <v>15</v>
      </c>
      <c r="D9" s="87" t="s">
        <v>63</v>
      </c>
      <c r="E9" s="34" t="s">
        <v>64</v>
      </c>
      <c r="F9" s="136">
        <v>18408.34</v>
      </c>
      <c r="G9" s="164">
        <v>18408.34</v>
      </c>
      <c r="H9" s="31" t="s">
        <v>15</v>
      </c>
      <c r="I9" s="31" t="str">
        <f t="shared" si="0"/>
        <v/>
      </c>
      <c r="J9" s="32"/>
    </row>
    <row r="10" spans="2:10" s="31" customFormat="1" ht="17.25" customHeight="1" x14ac:dyDescent="0.25">
      <c r="B10" s="181"/>
      <c r="C10" s="116" t="s">
        <v>16</v>
      </c>
      <c r="D10" s="87" t="s">
        <v>93</v>
      </c>
      <c r="E10" s="34" t="s">
        <v>65</v>
      </c>
      <c r="F10" s="136">
        <v>14505.08</v>
      </c>
      <c r="G10" s="164">
        <v>14505.08</v>
      </c>
      <c r="H10" s="31" t="s">
        <v>16</v>
      </c>
      <c r="I10" s="31" t="str">
        <f t="shared" si="0"/>
        <v/>
      </c>
      <c r="J10" s="32"/>
    </row>
    <row r="11" spans="2:10" s="31" customFormat="1" ht="17.25" customHeight="1" x14ac:dyDescent="0.25">
      <c r="B11" s="181"/>
      <c r="C11" s="116" t="s">
        <v>17</v>
      </c>
      <c r="D11" s="87" t="s">
        <v>66</v>
      </c>
      <c r="E11" s="34" t="s">
        <v>67</v>
      </c>
      <c r="F11" s="136">
        <v>11347.68</v>
      </c>
      <c r="G11" s="164">
        <v>11347.68</v>
      </c>
      <c r="H11" s="31" t="s">
        <v>17</v>
      </c>
      <c r="I11" s="31" t="str">
        <f t="shared" si="0"/>
        <v/>
      </c>
    </row>
    <row r="12" spans="2:10" s="31" customFormat="1" ht="17.25" customHeight="1" x14ac:dyDescent="0.25">
      <c r="B12" s="181"/>
      <c r="C12" s="116" t="s">
        <v>18</v>
      </c>
      <c r="D12" s="87" t="s">
        <v>68</v>
      </c>
      <c r="E12" s="34" t="s">
        <v>69</v>
      </c>
      <c r="F12" s="136">
        <v>9335.82</v>
      </c>
      <c r="G12" s="164">
        <v>9335.82</v>
      </c>
      <c r="H12" s="31" t="s">
        <v>18</v>
      </c>
      <c r="I12" s="31" t="str">
        <f t="shared" si="0"/>
        <v/>
      </c>
    </row>
    <row r="13" spans="2:10" s="31" customFormat="1" ht="17.25" customHeight="1" x14ac:dyDescent="0.25">
      <c r="B13" s="182"/>
      <c r="C13" s="115" t="s">
        <v>19</v>
      </c>
      <c r="D13" s="44" t="s">
        <v>228</v>
      </c>
      <c r="E13" s="35" t="s">
        <v>70</v>
      </c>
      <c r="F13" s="136">
        <v>8882.5</v>
      </c>
      <c r="G13" s="164">
        <v>8882.5</v>
      </c>
      <c r="H13" s="31" t="s">
        <v>19</v>
      </c>
      <c r="I13" s="31" t="str">
        <f t="shared" si="0"/>
        <v/>
      </c>
    </row>
    <row r="14" spans="2:10" s="31" customFormat="1" ht="17.25" customHeight="1" x14ac:dyDescent="0.25">
      <c r="B14" s="180" t="s">
        <v>21</v>
      </c>
      <c r="C14" s="35" t="s">
        <v>23</v>
      </c>
      <c r="D14" s="44" t="s">
        <v>71</v>
      </c>
      <c r="E14" s="35" t="s">
        <v>72</v>
      </c>
      <c r="F14" s="136">
        <v>6576.05</v>
      </c>
      <c r="G14" s="164">
        <v>6576.05</v>
      </c>
      <c r="H14" s="31" t="s">
        <v>23</v>
      </c>
      <c r="I14" s="31" t="str">
        <f t="shared" si="0"/>
        <v/>
      </c>
    </row>
    <row r="15" spans="2:10" s="31" customFormat="1" ht="17.25" customHeight="1" x14ac:dyDescent="0.25">
      <c r="B15" s="181"/>
      <c r="C15" s="35" t="s">
        <v>26</v>
      </c>
      <c r="D15" s="44" t="s">
        <v>73</v>
      </c>
      <c r="E15" s="35" t="s">
        <v>74</v>
      </c>
      <c r="F15" s="136">
        <v>5015.7</v>
      </c>
      <c r="G15" s="164">
        <v>5015.7</v>
      </c>
      <c r="H15" s="31" t="s">
        <v>26</v>
      </c>
      <c r="I15" s="31" t="str">
        <f t="shared" si="0"/>
        <v/>
      </c>
    </row>
    <row r="16" spans="2:10" s="31" customFormat="1" ht="17.25" customHeight="1" x14ac:dyDescent="0.25">
      <c r="B16" s="181"/>
      <c r="C16" s="35" t="s">
        <v>28</v>
      </c>
      <c r="D16" s="44" t="s">
        <v>75</v>
      </c>
      <c r="E16" s="35" t="s">
        <v>76</v>
      </c>
      <c r="F16" s="136">
        <v>3793.13</v>
      </c>
      <c r="G16" s="164">
        <v>3793.13</v>
      </c>
      <c r="H16" s="31" t="s">
        <v>28</v>
      </c>
      <c r="I16" s="31" t="str">
        <f t="shared" si="0"/>
        <v/>
      </c>
    </row>
    <row r="17" spans="2:9" s="31" customFormat="1" ht="17.25" customHeight="1" x14ac:dyDescent="0.25">
      <c r="B17" s="181"/>
      <c r="C17" s="35" t="s">
        <v>29</v>
      </c>
      <c r="D17" s="44" t="s">
        <v>77</v>
      </c>
      <c r="E17" s="35" t="s">
        <v>78</v>
      </c>
      <c r="F17" s="136">
        <v>3044.5</v>
      </c>
      <c r="G17" s="164">
        <v>3044.5</v>
      </c>
      <c r="H17" s="31" t="s">
        <v>29</v>
      </c>
      <c r="I17" s="31" t="str">
        <f t="shared" si="0"/>
        <v/>
      </c>
    </row>
    <row r="18" spans="2:9" s="31" customFormat="1" ht="17.25" customHeight="1" x14ac:dyDescent="0.25">
      <c r="B18" s="182"/>
      <c r="C18" s="35" t="s">
        <v>31</v>
      </c>
      <c r="D18" s="44" t="s">
        <v>79</v>
      </c>
      <c r="E18" s="35" t="s">
        <v>80</v>
      </c>
      <c r="F18" s="136">
        <v>2274.4299999999998</v>
      </c>
      <c r="G18" s="164">
        <v>2274.4299999999998</v>
      </c>
      <c r="H18" s="31" t="s">
        <v>31</v>
      </c>
      <c r="I18" s="31" t="str">
        <f t="shared" si="0"/>
        <v/>
      </c>
    </row>
    <row r="19" spans="2:9" s="31" customFormat="1" ht="17.25" customHeight="1" x14ac:dyDescent="0.25">
      <c r="B19" s="180" t="s">
        <v>81</v>
      </c>
      <c r="C19" s="35" t="s">
        <v>35</v>
      </c>
      <c r="D19" s="44" t="s">
        <v>82</v>
      </c>
      <c r="E19" s="35" t="s">
        <v>76</v>
      </c>
      <c r="F19" s="136">
        <v>5268.86</v>
      </c>
      <c r="G19" s="164">
        <v>5268.86</v>
      </c>
      <c r="H19" s="31" t="s">
        <v>35</v>
      </c>
      <c r="I19" s="31" t="str">
        <f t="shared" si="0"/>
        <v/>
      </c>
    </row>
    <row r="20" spans="2:9" s="31" customFormat="1" ht="17.25" customHeight="1" x14ac:dyDescent="0.25">
      <c r="B20" s="181"/>
      <c r="C20" s="35" t="s">
        <v>37</v>
      </c>
      <c r="D20" s="44" t="s">
        <v>83</v>
      </c>
      <c r="E20" s="35" t="s">
        <v>84</v>
      </c>
      <c r="F20" s="136">
        <v>3164.02</v>
      </c>
      <c r="G20" s="164">
        <v>3164.02</v>
      </c>
      <c r="H20" s="31" t="s">
        <v>37</v>
      </c>
      <c r="I20" s="31" t="str">
        <f t="shared" si="0"/>
        <v/>
      </c>
    </row>
    <row r="21" spans="2:9" s="31" customFormat="1" ht="25.5" customHeight="1" x14ac:dyDescent="0.25">
      <c r="B21" s="181"/>
      <c r="C21" s="35" t="s">
        <v>39</v>
      </c>
      <c r="D21" s="44" t="s">
        <v>142</v>
      </c>
      <c r="E21" s="35" t="s">
        <v>84</v>
      </c>
      <c r="F21" s="136">
        <v>2044.22</v>
      </c>
      <c r="G21" s="164">
        <v>2044.22</v>
      </c>
      <c r="H21" s="31" t="s">
        <v>39</v>
      </c>
      <c r="I21" s="31" t="str">
        <f t="shared" si="0"/>
        <v/>
      </c>
    </row>
    <row r="22" spans="2:9" s="31" customFormat="1" ht="17.25" customHeight="1" x14ac:dyDescent="0.25">
      <c r="B22" s="181"/>
      <c r="C22" s="35" t="s">
        <v>56</v>
      </c>
      <c r="D22" s="44" t="s">
        <v>143</v>
      </c>
      <c r="E22" s="35" t="s">
        <v>84</v>
      </c>
      <c r="F22" s="136">
        <v>1782.1</v>
      </c>
      <c r="G22" s="164">
        <v>1782.1</v>
      </c>
      <c r="H22" s="31" t="s">
        <v>56</v>
      </c>
      <c r="I22" s="31" t="str">
        <f t="shared" si="0"/>
        <v/>
      </c>
    </row>
    <row r="23" spans="2:9" s="31" customFormat="1" ht="17.25" customHeight="1" x14ac:dyDescent="0.25">
      <c r="B23" s="182"/>
      <c r="C23" s="35" t="s">
        <v>57</v>
      </c>
      <c r="D23" s="44" t="s">
        <v>87</v>
      </c>
      <c r="E23" s="35" t="s">
        <v>84</v>
      </c>
      <c r="F23" s="136">
        <v>1816.28</v>
      </c>
      <c r="G23" s="164">
        <v>1816.28</v>
      </c>
      <c r="H23" s="31" t="s">
        <v>57</v>
      </c>
      <c r="I23" s="31" t="str">
        <f t="shared" si="0"/>
        <v/>
      </c>
    </row>
    <row r="24" spans="2:9" s="31" customFormat="1" ht="17.25" customHeight="1" x14ac:dyDescent="0.25">
      <c r="B24" s="179" t="s">
        <v>44</v>
      </c>
      <c r="C24" s="117" t="s">
        <v>170</v>
      </c>
      <c r="D24" s="87" t="s">
        <v>132</v>
      </c>
      <c r="E24" s="34" t="s">
        <v>137</v>
      </c>
      <c r="F24" s="136">
        <v>1860.06</v>
      </c>
      <c r="G24" s="164">
        <v>1860.06</v>
      </c>
      <c r="H24" s="31" t="s">
        <v>170</v>
      </c>
      <c r="I24" s="31" t="str">
        <f t="shared" si="0"/>
        <v/>
      </c>
    </row>
    <row r="25" spans="2:9" s="31" customFormat="1" ht="17.25" customHeight="1" x14ac:dyDescent="0.25">
      <c r="B25" s="179"/>
      <c r="C25" s="117" t="s">
        <v>171</v>
      </c>
      <c r="D25" s="87" t="s">
        <v>133</v>
      </c>
      <c r="E25" s="34" t="s">
        <v>138</v>
      </c>
      <c r="F25" s="136">
        <v>326.83999999999997</v>
      </c>
      <c r="G25" s="164">
        <v>326.83999999999997</v>
      </c>
      <c r="H25" s="31" t="s">
        <v>171</v>
      </c>
      <c r="I25" s="31" t="str">
        <f t="shared" si="0"/>
        <v/>
      </c>
    </row>
    <row r="26" spans="2:9" s="31" customFormat="1" ht="17.25" customHeight="1" x14ac:dyDescent="0.25">
      <c r="B26" s="179"/>
      <c r="C26" s="117" t="s">
        <v>172</v>
      </c>
      <c r="D26" s="87" t="s">
        <v>134</v>
      </c>
      <c r="E26" s="34" t="s">
        <v>84</v>
      </c>
      <c r="F26" s="136">
        <v>1705.77</v>
      </c>
      <c r="G26" s="164">
        <v>1705.77</v>
      </c>
      <c r="H26" s="31" t="s">
        <v>172</v>
      </c>
      <c r="I26" s="31" t="str">
        <f t="shared" si="0"/>
        <v/>
      </c>
    </row>
    <row r="27" spans="2:9" s="31" customFormat="1" ht="17.25" customHeight="1" x14ac:dyDescent="0.25">
      <c r="B27" s="179"/>
      <c r="C27" s="117" t="s">
        <v>173</v>
      </c>
      <c r="D27" s="87" t="s">
        <v>135</v>
      </c>
      <c r="E27" s="34" t="s">
        <v>139</v>
      </c>
      <c r="F27" s="136">
        <v>2638.67</v>
      </c>
      <c r="G27" s="164">
        <v>2638.67</v>
      </c>
      <c r="H27" s="31" t="s">
        <v>173</v>
      </c>
      <c r="I27" s="31" t="str">
        <f t="shared" si="0"/>
        <v/>
      </c>
    </row>
    <row r="28" spans="2:9" s="31" customFormat="1" ht="17.25" customHeight="1" x14ac:dyDescent="0.25">
      <c r="B28" s="179"/>
      <c r="C28" s="117" t="s">
        <v>174</v>
      </c>
      <c r="D28" s="87" t="s">
        <v>136</v>
      </c>
      <c r="E28" s="34" t="s">
        <v>139</v>
      </c>
      <c r="F28" s="136">
        <v>4077.93</v>
      </c>
      <c r="G28" s="164">
        <v>4077.93</v>
      </c>
      <c r="H28" s="31" t="s">
        <v>174</v>
      </c>
      <c r="I28" s="31" t="str">
        <f t="shared" si="0"/>
        <v/>
      </c>
    </row>
    <row r="29" spans="2:9" s="31" customFormat="1" ht="17.25" customHeight="1" x14ac:dyDescent="0.25">
      <c r="B29" s="179"/>
      <c r="C29" s="117" t="s">
        <v>120</v>
      </c>
      <c r="D29" s="87" t="s">
        <v>144</v>
      </c>
      <c r="E29" s="34" t="s">
        <v>140</v>
      </c>
      <c r="F29" s="136">
        <v>171.37</v>
      </c>
      <c r="G29" s="164">
        <v>171.37</v>
      </c>
      <c r="H29" s="31" t="s">
        <v>120</v>
      </c>
      <c r="I29" s="31" t="str">
        <f t="shared" si="0"/>
        <v/>
      </c>
    </row>
    <row r="30" spans="2:9" s="31" customFormat="1" ht="17.25" customHeight="1" x14ac:dyDescent="0.25">
      <c r="B30" s="179"/>
      <c r="C30" s="34" t="s">
        <v>175</v>
      </c>
      <c r="D30" s="87" t="s">
        <v>129</v>
      </c>
      <c r="E30" s="34" t="s">
        <v>84</v>
      </c>
      <c r="F30" s="136">
        <v>3366.25</v>
      </c>
      <c r="G30" s="164">
        <v>3366.25</v>
      </c>
      <c r="H30" s="31" t="s">
        <v>175</v>
      </c>
      <c r="I30" s="31" t="str">
        <f t="shared" si="0"/>
        <v/>
      </c>
    </row>
    <row r="31" spans="2:9" s="31" customFormat="1" ht="25.5" customHeight="1" x14ac:dyDescent="0.25">
      <c r="B31" s="179"/>
      <c r="C31" s="34" t="s">
        <v>176</v>
      </c>
      <c r="D31" s="87" t="s">
        <v>130</v>
      </c>
      <c r="E31" s="34" t="s">
        <v>84</v>
      </c>
      <c r="F31" s="136">
        <v>3561.89</v>
      </c>
      <c r="G31" s="164">
        <v>3561.89</v>
      </c>
      <c r="H31" s="31" t="s">
        <v>176</v>
      </c>
      <c r="I31" s="31" t="str">
        <f t="shared" si="0"/>
        <v/>
      </c>
    </row>
    <row r="32" spans="2:9" s="31" customFormat="1" ht="17.25" customHeight="1" x14ac:dyDescent="0.25">
      <c r="B32" s="179"/>
      <c r="C32" s="34" t="s">
        <v>177</v>
      </c>
      <c r="D32" s="87" t="s">
        <v>131</v>
      </c>
      <c r="E32" s="34" t="s">
        <v>141</v>
      </c>
      <c r="F32" s="136">
        <v>11311.06</v>
      </c>
      <c r="G32" s="164">
        <v>11311.06</v>
      </c>
      <c r="H32" s="31" t="s">
        <v>177</v>
      </c>
      <c r="I32" s="31" t="str">
        <f t="shared" si="0"/>
        <v/>
      </c>
    </row>
    <row r="33" spans="4:9" x14ac:dyDescent="0.2">
      <c r="G33" s="24"/>
    </row>
    <row r="34" spans="4:9" x14ac:dyDescent="0.2">
      <c r="G34" s="24"/>
    </row>
    <row r="35" spans="4:9" ht="24.75" customHeight="1" x14ac:dyDescent="0.2">
      <c r="D35" s="186" t="s">
        <v>216</v>
      </c>
      <c r="E35" s="186"/>
      <c r="F35" s="186"/>
      <c r="G35" s="186"/>
    </row>
    <row r="36" spans="4:9" ht="55.5" customHeight="1" x14ac:dyDescent="0.2">
      <c r="D36" s="187" t="s">
        <v>2</v>
      </c>
      <c r="E36" s="188"/>
      <c r="F36" s="163" t="s">
        <v>243</v>
      </c>
      <c r="G36" s="165" t="s">
        <v>244</v>
      </c>
    </row>
    <row r="37" spans="4:9" ht="22.5" customHeight="1" x14ac:dyDescent="0.2">
      <c r="D37" s="178" t="s">
        <v>213</v>
      </c>
      <c r="E37" s="44" t="s">
        <v>62</v>
      </c>
      <c r="F37" s="137">
        <v>0.2</v>
      </c>
      <c r="G37" s="166">
        <v>0.2</v>
      </c>
      <c r="I37" s="31" t="str">
        <f t="shared" ref="I37:I38" si="1">IF(F37&gt;G37,"ERRO, valor superior ao máximo permitido","")</f>
        <v/>
      </c>
    </row>
    <row r="38" spans="4:9" ht="22.5" customHeight="1" x14ac:dyDescent="0.2">
      <c r="D38" s="178"/>
      <c r="E38" s="65" t="s">
        <v>227</v>
      </c>
      <c r="F38" s="137">
        <v>0.84040000000000004</v>
      </c>
      <c r="G38" s="166">
        <v>0.84040000000000004</v>
      </c>
      <c r="I38" s="31" t="str">
        <f t="shared" si="1"/>
        <v/>
      </c>
    </row>
    <row r="39" spans="4:9" ht="22.5" customHeight="1" x14ac:dyDescent="0.2">
      <c r="D39" s="124" t="s">
        <v>214</v>
      </c>
      <c r="E39" s="125"/>
      <c r="F39" s="137">
        <v>0.2</v>
      </c>
      <c r="G39" s="166">
        <v>0.2</v>
      </c>
      <c r="I39" s="31" t="str">
        <f>IF(F39&gt;G39,"ERRO, valor superior ao máximo permitido","")</f>
        <v/>
      </c>
    </row>
    <row r="40" spans="4:9" ht="22.5" customHeight="1" x14ac:dyDescent="0.2">
      <c r="D40" s="124" t="s">
        <v>215</v>
      </c>
      <c r="E40" s="125"/>
      <c r="F40" s="137">
        <v>0.12</v>
      </c>
      <c r="G40" s="166">
        <v>0.12</v>
      </c>
      <c r="I40" s="31" t="str">
        <f t="shared" ref="I40:I41" si="2">IF(F40&gt;G40,"ERRO, valor superior ao máximo permitido","")</f>
        <v/>
      </c>
    </row>
    <row r="41" spans="4:9" ht="22.5" customHeight="1" x14ac:dyDescent="0.2">
      <c r="D41" s="124" t="s">
        <v>217</v>
      </c>
      <c r="E41" s="125"/>
      <c r="F41" s="137">
        <v>0.16619999999999999</v>
      </c>
      <c r="G41" s="166">
        <v>0.16619999999999999</v>
      </c>
      <c r="I41" s="31" t="str">
        <f t="shared" si="2"/>
        <v/>
      </c>
    </row>
  </sheetData>
  <sheetProtection password="CC51" sheet="1" objects="1" scenarios="1"/>
  <mergeCells count="17">
    <mergeCell ref="I6:I7"/>
    <mergeCell ref="B8:B13"/>
    <mergeCell ref="B14:B18"/>
    <mergeCell ref="B1:G1"/>
    <mergeCell ref="B2:G2"/>
    <mergeCell ref="D37:D38"/>
    <mergeCell ref="B24:B32"/>
    <mergeCell ref="B19:B23"/>
    <mergeCell ref="F6:F7"/>
    <mergeCell ref="E6:E7"/>
    <mergeCell ref="D6:D7"/>
    <mergeCell ref="C6:C7"/>
    <mergeCell ref="B6:B7"/>
    <mergeCell ref="G6:G7"/>
    <mergeCell ref="B3:G3"/>
    <mergeCell ref="D35:G35"/>
    <mergeCell ref="D36:E36"/>
  </mergeCells>
  <conditionalFormatting sqref="F24:F32">
    <cfRule type="cellIs" dxfId="4" priority="10" operator="greaterThan">
      <formula>$G$8</formula>
    </cfRule>
  </conditionalFormatting>
  <conditionalFormatting sqref="F24:F32">
    <cfRule type="cellIs" dxfId="3" priority="8" operator="greaterThan">
      <formula>SUM($G$8:$G$32)</formula>
    </cfRule>
    <cfRule type="cellIs" dxfId="2" priority="6" operator="greaterThan">
      <formula>SUM($G$8:$G$32)</formula>
    </cfRule>
  </conditionalFormatting>
  <conditionalFormatting sqref="I37:I41">
    <cfRule type="containsText" dxfId="1" priority="2" operator="containsText" text="ERRO">
      <formula>NOT(ISERROR(SEARCH("ERRO",I37)))</formula>
    </cfRule>
  </conditionalFormatting>
  <conditionalFormatting sqref="I8:I32">
    <cfRule type="containsText" dxfId="0" priority="1" operator="containsText" text="ERRO">
      <formula>NOT(ISERROR(SEARCH("ERRO",I8)))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260" scale="93" orientation="portrait" horizontalDpi="4294967295" verticalDpi="300" r:id="rId1"/>
  <headerFooter alignWithMargins="0">
    <oddFooter>&amp;L&amp;8&amp;F/&amp;A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P52"/>
  <sheetViews>
    <sheetView showGridLines="0" topLeftCell="A25" zoomScaleNormal="100" workbookViewId="0">
      <selection activeCell="D37" sqref="D37:H37"/>
    </sheetView>
  </sheetViews>
  <sheetFormatPr defaultColWidth="9.140625" defaultRowHeight="12.75" x14ac:dyDescent="0.2"/>
  <cols>
    <col min="1" max="1" width="3.42578125" style="5" customWidth="1"/>
    <col min="2" max="2" width="3.85546875" style="5" customWidth="1"/>
    <col min="3" max="3" width="7" style="5" customWidth="1"/>
    <col min="4" max="4" width="37.7109375" style="5" customWidth="1"/>
    <col min="5" max="5" width="9.140625" style="5" bestFit="1" customWidth="1"/>
    <col min="6" max="6" width="8.7109375" style="5" bestFit="1" customWidth="1"/>
    <col min="7" max="7" width="10.42578125" style="5" customWidth="1"/>
    <col min="8" max="8" width="13.85546875" style="5" customWidth="1"/>
    <col min="9" max="9" width="15.85546875" style="5" customWidth="1"/>
    <col min="10" max="10" width="0.85546875" style="5" customWidth="1"/>
    <col min="11" max="11" width="15.7109375" style="5" customWidth="1"/>
    <col min="12" max="12" width="13.5703125" style="5" customWidth="1"/>
    <col min="13" max="13" width="13.28515625" style="5" customWidth="1"/>
    <col min="14" max="14" width="14.140625" style="5" customWidth="1"/>
    <col min="15" max="15" width="16.28515625" style="5" bestFit="1" customWidth="1"/>
    <col min="16" max="16" width="16.5703125" style="5" customWidth="1"/>
    <col min="17" max="21" width="21.140625" style="5" customWidth="1"/>
    <col min="22" max="22" width="31.42578125" style="5" customWidth="1"/>
    <col min="23" max="24" width="19.85546875" style="5" customWidth="1"/>
    <col min="25" max="25" width="22.28515625" style="5" customWidth="1"/>
    <col min="26" max="26" width="18.7109375" style="5" customWidth="1"/>
    <col min="27" max="27" width="20" style="5" customWidth="1"/>
    <col min="28" max="28" width="21.85546875" style="5" customWidth="1"/>
    <col min="29" max="29" width="18.28515625" style="5" customWidth="1"/>
    <col min="30" max="30" width="16.140625" style="5" customWidth="1"/>
    <col min="31" max="16384" width="9.140625" style="5"/>
  </cols>
  <sheetData>
    <row r="1" spans="2:10" ht="15.75" customHeight="1" x14ac:dyDescent="0.2">
      <c r="C1" s="200" t="s">
        <v>122</v>
      </c>
      <c r="D1" s="200"/>
      <c r="E1" s="200"/>
      <c r="F1" s="200"/>
      <c r="G1" s="200"/>
      <c r="H1" s="200"/>
      <c r="I1" s="200"/>
      <c r="J1" s="200"/>
    </row>
    <row r="2" spans="2:10" ht="10.5" customHeight="1" x14ac:dyDescent="0.2">
      <c r="C2" s="66"/>
      <c r="D2" s="66"/>
      <c r="E2" s="66"/>
      <c r="F2" s="66"/>
      <c r="G2" s="66"/>
      <c r="H2" s="66"/>
      <c r="I2" s="66"/>
      <c r="J2" s="66"/>
    </row>
    <row r="3" spans="2:10" ht="19.5" customHeight="1" x14ac:dyDescent="0.2">
      <c r="C3" s="200" t="s">
        <v>208</v>
      </c>
      <c r="D3" s="200"/>
      <c r="E3" s="200"/>
      <c r="F3" s="200"/>
      <c r="G3" s="200"/>
      <c r="H3" s="200"/>
      <c r="I3" s="200"/>
      <c r="J3" s="66"/>
    </row>
    <row r="4" spans="2:10" ht="25.5" customHeight="1" x14ac:dyDescent="0.2">
      <c r="C4" s="200" t="s">
        <v>212</v>
      </c>
      <c r="D4" s="200"/>
      <c r="E4" s="200"/>
      <c r="F4" s="200"/>
      <c r="G4" s="200"/>
      <c r="H4" s="200"/>
      <c r="I4" s="200"/>
      <c r="J4" s="66"/>
    </row>
    <row r="5" spans="2:10" ht="12.75" customHeight="1" x14ac:dyDescent="0.2">
      <c r="C5" s="185" t="s">
        <v>238</v>
      </c>
      <c r="D5" s="185"/>
      <c r="E5" s="185"/>
      <c r="F5" s="185"/>
      <c r="G5" s="185"/>
      <c r="H5" s="185"/>
      <c r="I5" s="185"/>
      <c r="J5" s="66"/>
    </row>
    <row r="6" spans="2:10" ht="18" x14ac:dyDescent="0.25">
      <c r="C6" s="1"/>
      <c r="D6" s="201"/>
      <c r="E6" s="201"/>
      <c r="F6" s="201"/>
      <c r="G6" s="201"/>
      <c r="H6" s="201"/>
      <c r="I6" s="2"/>
    </row>
    <row r="7" spans="2:10" x14ac:dyDescent="0.2">
      <c r="C7" s="6" t="s">
        <v>0</v>
      </c>
      <c r="H7" s="3"/>
      <c r="I7" s="133"/>
    </row>
    <row r="8" spans="2:10" ht="15" customHeight="1" x14ac:dyDescent="0.2">
      <c r="C8" s="202" t="s">
        <v>2</v>
      </c>
      <c r="D8" s="202" t="s">
        <v>3</v>
      </c>
      <c r="E8" s="202" t="s">
        <v>4</v>
      </c>
      <c r="F8" s="204" t="s">
        <v>88</v>
      </c>
      <c r="G8" s="204"/>
      <c r="H8" s="193" t="s">
        <v>5</v>
      </c>
      <c r="I8" s="195"/>
    </row>
    <row r="9" spans="2:10" x14ac:dyDescent="0.2">
      <c r="C9" s="203"/>
      <c r="D9" s="203"/>
      <c r="E9" s="203"/>
      <c r="F9" s="48" t="s">
        <v>58</v>
      </c>
      <c r="G9" s="48" t="s">
        <v>59</v>
      </c>
      <c r="H9" s="11" t="s">
        <v>6</v>
      </c>
      <c r="I9" s="11" t="s">
        <v>7</v>
      </c>
    </row>
    <row r="10" spans="2:10" x14ac:dyDescent="0.2">
      <c r="C10" s="11">
        <v>1</v>
      </c>
      <c r="D10" s="13" t="s">
        <v>8</v>
      </c>
      <c r="E10" s="8"/>
      <c r="F10" s="8"/>
      <c r="G10" s="69"/>
      <c r="H10" s="8"/>
      <c r="I10" s="8"/>
      <c r="J10" s="24"/>
    </row>
    <row r="11" spans="2:10" x14ac:dyDescent="0.2">
      <c r="C11" s="11" t="s">
        <v>9</v>
      </c>
      <c r="D11" s="13" t="s">
        <v>55</v>
      </c>
      <c r="E11" s="8"/>
      <c r="F11" s="8"/>
      <c r="G11" s="69"/>
      <c r="H11" s="8"/>
      <c r="I11" s="8"/>
      <c r="J11" s="24"/>
    </row>
    <row r="12" spans="2:10" x14ac:dyDescent="0.2">
      <c r="B12" s="5" t="s">
        <v>14</v>
      </c>
      <c r="C12" s="7" t="s">
        <v>11</v>
      </c>
      <c r="D12" s="8" t="s">
        <v>12</v>
      </c>
      <c r="E12" s="7" t="s">
        <v>13</v>
      </c>
      <c r="F12" s="159">
        <v>1</v>
      </c>
      <c r="G12" s="143">
        <v>0</v>
      </c>
      <c r="H12" s="9">
        <f>+SUMIF('Salários e Custos'!H:H,'Produto 1'!B12,'Salários e Custos'!F:F)</f>
        <v>21182.87</v>
      </c>
      <c r="I12" s="9">
        <f>ROUND(H12*F12*G12,2)</f>
        <v>0</v>
      </c>
      <c r="J12" s="24"/>
    </row>
    <row r="13" spans="2:10" s="24" customFormat="1" x14ac:dyDescent="0.2">
      <c r="C13" s="11" t="s">
        <v>20</v>
      </c>
      <c r="D13" s="13" t="s">
        <v>10</v>
      </c>
      <c r="E13" s="8"/>
      <c r="F13" s="160"/>
      <c r="G13" s="145"/>
      <c r="H13" s="8"/>
      <c r="I13" s="8"/>
    </row>
    <row r="14" spans="2:10" s="24" customFormat="1" x14ac:dyDescent="0.2">
      <c r="B14" s="24" t="s">
        <v>15</v>
      </c>
      <c r="C14" s="7" t="s">
        <v>22</v>
      </c>
      <c r="D14" s="8" t="s">
        <v>95</v>
      </c>
      <c r="E14" s="7" t="s">
        <v>13</v>
      </c>
      <c r="F14" s="159">
        <v>1</v>
      </c>
      <c r="G14" s="143">
        <v>0</v>
      </c>
      <c r="H14" s="9">
        <f>+SUMIF('Salários e Custos'!H:H,'Produto 1'!B14,'Salários e Custos'!F:F)</f>
        <v>18408.34</v>
      </c>
      <c r="I14" s="9">
        <f>ROUND(H14*F14*G14,2)</f>
        <v>0</v>
      </c>
    </row>
    <row r="15" spans="2:10" s="24" customFormat="1" x14ac:dyDescent="0.2">
      <c r="B15" s="24" t="s">
        <v>16</v>
      </c>
      <c r="C15" s="7" t="s">
        <v>24</v>
      </c>
      <c r="D15" s="8" t="s">
        <v>98</v>
      </c>
      <c r="E15" s="7" t="s">
        <v>13</v>
      </c>
      <c r="F15" s="159">
        <v>1</v>
      </c>
      <c r="G15" s="143">
        <v>1</v>
      </c>
      <c r="H15" s="9">
        <f>+SUMIF('Salários e Custos'!H:H,'Produto 1'!B15,'Salários e Custos'!F:F)</f>
        <v>14505.08</v>
      </c>
      <c r="I15" s="9">
        <f>ROUND(H15*F15*G15,2)</f>
        <v>14505.08</v>
      </c>
    </row>
    <row r="16" spans="2:10" s="24" customFormat="1" x14ac:dyDescent="0.2">
      <c r="B16" s="24" t="s">
        <v>17</v>
      </c>
      <c r="C16" s="7" t="s">
        <v>27</v>
      </c>
      <c r="D16" s="8" t="s">
        <v>96</v>
      </c>
      <c r="E16" s="7" t="s">
        <v>13</v>
      </c>
      <c r="F16" s="159">
        <v>1</v>
      </c>
      <c r="G16" s="143">
        <v>0</v>
      </c>
      <c r="H16" s="9">
        <f>+SUMIF('Salários e Custos'!H:H,'Produto 1'!B16,'Salários e Custos'!F:F)</f>
        <v>11347.68</v>
      </c>
      <c r="I16" s="9">
        <f t="shared" ref="I16:I18" si="0">ROUND(H16*F16*G16,2)</f>
        <v>0</v>
      </c>
    </row>
    <row r="17" spans="2:16" s="24" customFormat="1" x14ac:dyDescent="0.2">
      <c r="B17" s="24" t="s">
        <v>18</v>
      </c>
      <c r="C17" s="7" t="s">
        <v>24</v>
      </c>
      <c r="D17" s="8" t="s">
        <v>97</v>
      </c>
      <c r="E17" s="7" t="s">
        <v>13</v>
      </c>
      <c r="F17" s="159">
        <v>1</v>
      </c>
      <c r="G17" s="143">
        <v>0</v>
      </c>
      <c r="H17" s="9">
        <f>+SUMIF('Salários e Custos'!H:H,'Produto 1'!B17,'Salários e Custos'!F:F)</f>
        <v>9335.82</v>
      </c>
      <c r="I17" s="9">
        <f t="shared" si="0"/>
        <v>0</v>
      </c>
    </row>
    <row r="18" spans="2:16" s="24" customFormat="1" x14ac:dyDescent="0.2">
      <c r="B18" s="24" t="s">
        <v>19</v>
      </c>
      <c r="C18" s="7" t="s">
        <v>30</v>
      </c>
      <c r="D18" s="8" t="s">
        <v>99</v>
      </c>
      <c r="E18" s="7" t="s">
        <v>13</v>
      </c>
      <c r="F18" s="159">
        <v>1</v>
      </c>
      <c r="G18" s="143">
        <v>0</v>
      </c>
      <c r="H18" s="9">
        <f>+SUMIF('Salários e Custos'!H:H,'Produto 1'!B18,'Salários e Custos'!F:F)</f>
        <v>8882.5</v>
      </c>
      <c r="I18" s="9">
        <f t="shared" si="0"/>
        <v>0</v>
      </c>
    </row>
    <row r="19" spans="2:16" s="24" customFormat="1" x14ac:dyDescent="0.2">
      <c r="C19" s="11" t="s">
        <v>32</v>
      </c>
      <c r="D19" s="13" t="s">
        <v>21</v>
      </c>
      <c r="E19" s="7"/>
      <c r="F19" s="161"/>
      <c r="G19" s="143"/>
      <c r="H19" s="9"/>
      <c r="I19" s="9"/>
    </row>
    <row r="20" spans="2:16" s="24" customFormat="1" x14ac:dyDescent="0.2">
      <c r="B20" s="24" t="s">
        <v>23</v>
      </c>
      <c r="C20" s="7" t="s">
        <v>33</v>
      </c>
      <c r="D20" s="8" t="s">
        <v>100</v>
      </c>
      <c r="E20" s="7" t="s">
        <v>13</v>
      </c>
      <c r="F20" s="159">
        <v>1</v>
      </c>
      <c r="G20" s="143">
        <v>0</v>
      </c>
      <c r="H20" s="9">
        <f>+SUMIF('Salários e Custos'!H:H,'Produto 1'!B20,'Salários e Custos'!F:F)</f>
        <v>6576.05</v>
      </c>
      <c r="I20" s="9">
        <f t="shared" ref="I20:I24" si="1">ROUND(H20*F20*G20,2)</f>
        <v>0</v>
      </c>
    </row>
    <row r="21" spans="2:16" ht="12.75" customHeight="1" x14ac:dyDescent="0.2">
      <c r="B21" s="5" t="s">
        <v>26</v>
      </c>
      <c r="C21" s="7" t="s">
        <v>36</v>
      </c>
      <c r="D21" s="8" t="s">
        <v>25</v>
      </c>
      <c r="E21" s="7" t="s">
        <v>13</v>
      </c>
      <c r="F21" s="159">
        <v>1</v>
      </c>
      <c r="G21" s="143">
        <v>0</v>
      </c>
      <c r="H21" s="9">
        <f>+SUMIF('Salários e Custos'!H:H,'Produto 1'!B21,'Salários e Custos'!F:F)</f>
        <v>5015.7</v>
      </c>
      <c r="I21" s="9">
        <f t="shared" si="1"/>
        <v>0</v>
      </c>
      <c r="J21" s="24"/>
    </row>
    <row r="22" spans="2:16" ht="12.75" customHeight="1" x14ac:dyDescent="0.2">
      <c r="B22" s="5" t="s">
        <v>28</v>
      </c>
      <c r="C22" s="7" t="s">
        <v>38</v>
      </c>
      <c r="D22" s="8" t="s">
        <v>89</v>
      </c>
      <c r="E22" s="7" t="s">
        <v>13</v>
      </c>
      <c r="F22" s="159">
        <v>1</v>
      </c>
      <c r="G22" s="143">
        <v>0</v>
      </c>
      <c r="H22" s="9">
        <f>+SUMIF('Salários e Custos'!H:H,'Produto 1'!B22,'Salários e Custos'!F:F)</f>
        <v>3793.13</v>
      </c>
      <c r="I22" s="9">
        <f t="shared" si="1"/>
        <v>0</v>
      </c>
      <c r="J22" s="24"/>
    </row>
    <row r="23" spans="2:16" ht="12.75" customHeight="1" x14ac:dyDescent="0.2">
      <c r="B23" s="5" t="s">
        <v>29</v>
      </c>
      <c r="C23" s="7" t="s">
        <v>50</v>
      </c>
      <c r="D23" s="8" t="s">
        <v>90</v>
      </c>
      <c r="E23" s="7" t="s">
        <v>13</v>
      </c>
      <c r="F23" s="159">
        <v>1</v>
      </c>
      <c r="G23" s="143">
        <v>0</v>
      </c>
      <c r="H23" s="9">
        <f>+SUMIF('Salários e Custos'!H:H,'Produto 1'!B23,'Salários e Custos'!F:F)</f>
        <v>3044.5</v>
      </c>
      <c r="I23" s="9">
        <f t="shared" si="1"/>
        <v>0</v>
      </c>
      <c r="J23" s="24"/>
    </row>
    <row r="24" spans="2:16" ht="12.75" customHeight="1" x14ac:dyDescent="0.2">
      <c r="B24" s="5" t="s">
        <v>31</v>
      </c>
      <c r="C24" s="7" t="s">
        <v>51</v>
      </c>
      <c r="D24" s="8" t="s">
        <v>91</v>
      </c>
      <c r="E24" s="7" t="s">
        <v>13</v>
      </c>
      <c r="F24" s="159">
        <v>1</v>
      </c>
      <c r="G24" s="143">
        <v>0</v>
      </c>
      <c r="H24" s="9">
        <f>+SUMIF('Salários e Custos'!H:H,'Produto 1'!B24,'Salários e Custos'!F:F)</f>
        <v>2274.4299999999998</v>
      </c>
      <c r="I24" s="9">
        <f t="shared" si="1"/>
        <v>0</v>
      </c>
      <c r="J24" s="24"/>
    </row>
    <row r="25" spans="2:16" ht="12.75" customHeight="1" x14ac:dyDescent="0.2">
      <c r="C25" s="11" t="s">
        <v>52</v>
      </c>
      <c r="D25" s="13" t="s">
        <v>81</v>
      </c>
      <c r="E25" s="7"/>
      <c r="F25" s="161"/>
      <c r="G25" s="143"/>
      <c r="H25" s="9"/>
      <c r="I25" s="9"/>
      <c r="J25" s="24"/>
    </row>
    <row r="26" spans="2:16" ht="12.75" customHeight="1" x14ac:dyDescent="0.2">
      <c r="B26" s="5" t="s">
        <v>35</v>
      </c>
      <c r="C26" s="7" t="s">
        <v>53</v>
      </c>
      <c r="D26" s="8" t="s">
        <v>34</v>
      </c>
      <c r="E26" s="7" t="s">
        <v>13</v>
      </c>
      <c r="F26" s="159">
        <v>1</v>
      </c>
      <c r="G26" s="143">
        <v>0</v>
      </c>
      <c r="H26" s="9">
        <f>+SUMIF('Salários e Custos'!H:H,'Produto 1'!B26,'Salários e Custos'!F:F)</f>
        <v>5268.86</v>
      </c>
      <c r="I26" s="9">
        <f t="shared" ref="I26:I29" si="2">ROUND(H26*F26*G26,2)</f>
        <v>0</v>
      </c>
      <c r="J26" s="24"/>
    </row>
    <row r="27" spans="2:16" ht="12.75" customHeight="1" x14ac:dyDescent="0.2">
      <c r="B27" s="5" t="s">
        <v>37</v>
      </c>
      <c r="C27" s="7" t="s">
        <v>53</v>
      </c>
      <c r="D27" s="44" t="s">
        <v>83</v>
      </c>
      <c r="E27" s="7" t="s">
        <v>13</v>
      </c>
      <c r="F27" s="159">
        <v>1</v>
      </c>
      <c r="G27" s="143">
        <v>0</v>
      </c>
      <c r="H27" s="9">
        <f>+SUMIF('Salários e Custos'!H:H,'Produto 1'!B27,'Salários e Custos'!F:F)</f>
        <v>3164.02</v>
      </c>
      <c r="I27" s="9">
        <f t="shared" si="2"/>
        <v>0</v>
      </c>
      <c r="J27" s="24"/>
    </row>
    <row r="28" spans="2:16" ht="25.5" x14ac:dyDescent="0.2">
      <c r="B28" s="5" t="s">
        <v>39</v>
      </c>
      <c r="C28" s="7" t="s">
        <v>54</v>
      </c>
      <c r="D28" s="44" t="s">
        <v>85</v>
      </c>
      <c r="E28" s="7" t="s">
        <v>13</v>
      </c>
      <c r="F28" s="159">
        <v>1</v>
      </c>
      <c r="G28" s="143">
        <v>0</v>
      </c>
      <c r="H28" s="9">
        <f>+SUMIF('Salários e Custos'!H:H,'Produto 1'!B28,'Salários e Custos'!F:F)</f>
        <v>2044.22</v>
      </c>
      <c r="I28" s="9">
        <f t="shared" si="2"/>
        <v>0</v>
      </c>
      <c r="J28" s="24"/>
      <c r="L28" s="27"/>
      <c r="M28" s="27"/>
      <c r="N28" s="27"/>
      <c r="O28" s="27"/>
      <c r="P28" s="27"/>
    </row>
    <row r="29" spans="2:16" x14ac:dyDescent="0.2">
      <c r="B29" s="5" t="s">
        <v>56</v>
      </c>
      <c r="C29" s="7" t="s">
        <v>54</v>
      </c>
      <c r="D29" s="44" t="s">
        <v>86</v>
      </c>
      <c r="E29" s="7" t="s">
        <v>13</v>
      </c>
      <c r="F29" s="159">
        <v>1</v>
      </c>
      <c r="G29" s="143">
        <v>0</v>
      </c>
      <c r="H29" s="9">
        <f>+SUMIF('Salários e Custos'!H:H,'Produto 1'!B29,'Salários e Custos'!F:F)</f>
        <v>1782.1</v>
      </c>
      <c r="I29" s="9">
        <f t="shared" si="2"/>
        <v>0</v>
      </c>
      <c r="J29" s="24"/>
      <c r="L29" s="27"/>
      <c r="M29" s="27"/>
      <c r="N29" s="27"/>
      <c r="O29" s="27"/>
      <c r="P29" s="27"/>
    </row>
    <row r="30" spans="2:16" x14ac:dyDescent="0.2">
      <c r="C30" s="26"/>
      <c r="D30" s="27"/>
      <c r="E30" s="27"/>
      <c r="F30" s="27"/>
      <c r="G30" s="68"/>
      <c r="H30" s="27"/>
      <c r="I30" s="28"/>
      <c r="L30" s="27"/>
      <c r="M30" s="27"/>
      <c r="N30" s="27"/>
      <c r="O30" s="27"/>
      <c r="P30" s="27"/>
    </row>
    <row r="31" spans="2:16" ht="15" customHeight="1" x14ac:dyDescent="0.2">
      <c r="C31" s="11" t="s">
        <v>40</v>
      </c>
      <c r="D31" s="196" t="s">
        <v>41</v>
      </c>
      <c r="E31" s="197"/>
      <c r="F31" s="197"/>
      <c r="G31" s="197"/>
      <c r="H31" s="198"/>
      <c r="I31" s="12">
        <f>SUM(I12:I30)</f>
        <v>14505.08</v>
      </c>
      <c r="L31" s="199"/>
      <c r="M31" s="199"/>
      <c r="N31" s="199"/>
      <c r="O31" s="27"/>
      <c r="P31" s="27"/>
    </row>
    <row r="32" spans="2:16" ht="15.75" customHeight="1" x14ac:dyDescent="0.2">
      <c r="C32" s="11" t="s">
        <v>42</v>
      </c>
      <c r="D32" s="196" t="s">
        <v>213</v>
      </c>
      <c r="E32" s="197"/>
      <c r="F32" s="197"/>
      <c r="G32" s="197"/>
      <c r="H32" s="198"/>
      <c r="I32" s="12">
        <f>ROUND(+SUM(I14:I29)*'Salários e Custos'!F38+I12*'Salários e Custos'!F37,2)</f>
        <v>12190.07</v>
      </c>
      <c r="L32" s="59"/>
      <c r="M32" s="27"/>
      <c r="N32" s="53"/>
      <c r="O32" s="27"/>
      <c r="P32" s="27"/>
    </row>
    <row r="33" spans="2:16" ht="15.75" customHeight="1" x14ac:dyDescent="0.2">
      <c r="C33" s="11" t="s">
        <v>43</v>
      </c>
      <c r="D33" s="196" t="s">
        <v>214</v>
      </c>
      <c r="E33" s="197"/>
      <c r="F33" s="197"/>
      <c r="G33" s="197"/>
      <c r="H33" s="198"/>
      <c r="I33" s="14">
        <f>ROUND((+I31-I12)*'Salários e Custos'!F39,2)</f>
        <v>2901.02</v>
      </c>
      <c r="L33" s="59"/>
      <c r="M33" s="27"/>
      <c r="N33" s="53"/>
      <c r="O33" s="27"/>
      <c r="P33" s="27"/>
    </row>
    <row r="34" spans="2:16" ht="15.75" customHeight="1" x14ac:dyDescent="0.2">
      <c r="C34" s="47"/>
      <c r="D34" s="15"/>
      <c r="E34" s="15"/>
      <c r="F34" s="15"/>
      <c r="G34" s="15"/>
      <c r="H34" s="15"/>
      <c r="I34" s="16"/>
      <c r="L34" s="59"/>
      <c r="M34" s="27"/>
      <c r="N34" s="27"/>
      <c r="O34" s="27"/>
      <c r="P34" s="27"/>
    </row>
    <row r="35" spans="2:16" s="6" customFormat="1" x14ac:dyDescent="0.2">
      <c r="C35" s="11">
        <v>2</v>
      </c>
      <c r="D35" s="13" t="s">
        <v>44</v>
      </c>
      <c r="E35" s="13"/>
      <c r="F35" s="13"/>
      <c r="G35" s="13"/>
      <c r="H35" s="13"/>
      <c r="I35" s="12"/>
      <c r="L35" s="59"/>
      <c r="M35" s="27"/>
      <c r="N35" s="60"/>
      <c r="O35" s="60"/>
      <c r="P35" s="60"/>
    </row>
    <row r="36" spans="2:16" x14ac:dyDescent="0.2">
      <c r="B36" s="31" t="s">
        <v>120</v>
      </c>
      <c r="C36" s="7" t="s">
        <v>121</v>
      </c>
      <c r="D36" s="65" t="s">
        <v>144</v>
      </c>
      <c r="E36" s="7" t="s">
        <v>13</v>
      </c>
      <c r="F36" s="159">
        <v>1</v>
      </c>
      <c r="G36" s="144">
        <v>1</v>
      </c>
      <c r="H36" s="9">
        <f>+SUMIF('Salários e Custos'!H:H,'Produto 1'!B36,'Salários e Custos'!F:F)</f>
        <v>171.37</v>
      </c>
      <c r="I36" s="9">
        <f>ROUND(H36*F36*G36,2)</f>
        <v>171.37</v>
      </c>
      <c r="K36" s="24"/>
      <c r="L36" s="27"/>
      <c r="M36" s="27"/>
      <c r="N36" s="27"/>
      <c r="O36" s="27"/>
      <c r="P36" s="27"/>
    </row>
    <row r="37" spans="2:16" ht="15.75" customHeight="1" x14ac:dyDescent="0.2">
      <c r="C37" s="11" t="s">
        <v>46</v>
      </c>
      <c r="D37" s="193" t="s">
        <v>47</v>
      </c>
      <c r="E37" s="194"/>
      <c r="F37" s="194"/>
      <c r="G37" s="194"/>
      <c r="H37" s="195"/>
      <c r="I37" s="17">
        <f>SUM(I36:I36)</f>
        <v>171.37</v>
      </c>
      <c r="L37" s="27"/>
      <c r="M37" s="27"/>
      <c r="N37" s="27"/>
      <c r="O37" s="27"/>
      <c r="P37" s="27"/>
    </row>
    <row r="38" spans="2:16" ht="15.75" customHeight="1" x14ac:dyDescent="0.2">
      <c r="C38" s="18"/>
      <c r="D38" s="15"/>
      <c r="E38" s="15"/>
      <c r="F38" s="15"/>
      <c r="G38" s="15"/>
      <c r="H38" s="15"/>
      <c r="I38" s="16"/>
      <c r="L38" s="61"/>
      <c r="M38" s="62"/>
      <c r="N38" s="60"/>
      <c r="O38" s="27"/>
      <c r="P38" s="27"/>
    </row>
    <row r="39" spans="2:16" ht="15.75" customHeight="1" x14ac:dyDescent="0.2">
      <c r="C39" s="7" t="s">
        <v>204</v>
      </c>
      <c r="D39" s="190" t="s">
        <v>187</v>
      </c>
      <c r="E39" s="191"/>
      <c r="F39" s="191"/>
      <c r="G39" s="191"/>
      <c r="H39" s="192"/>
      <c r="I39" s="19">
        <f>I31+I32+I33+I37</f>
        <v>29767.54</v>
      </c>
      <c r="L39" s="27"/>
      <c r="M39" s="62"/>
      <c r="N39" s="60"/>
      <c r="O39" s="27"/>
      <c r="P39" s="27"/>
    </row>
    <row r="40" spans="2:16" ht="15.75" customHeight="1" x14ac:dyDescent="0.2">
      <c r="C40" s="18"/>
      <c r="D40" s="15"/>
      <c r="E40" s="15"/>
      <c r="F40" s="15"/>
      <c r="G40" s="15"/>
      <c r="H40" s="15"/>
      <c r="I40" s="21"/>
      <c r="L40" s="27"/>
      <c r="M40" s="27"/>
      <c r="N40" s="27"/>
      <c r="O40" s="27"/>
      <c r="P40" s="27"/>
    </row>
    <row r="41" spans="2:16" ht="15.75" customHeight="1" x14ac:dyDescent="0.2">
      <c r="C41" s="7" t="s">
        <v>48</v>
      </c>
      <c r="D41" s="193" t="s">
        <v>49</v>
      </c>
      <c r="E41" s="194"/>
      <c r="F41" s="194"/>
      <c r="G41" s="194"/>
      <c r="H41" s="195"/>
      <c r="I41" s="23"/>
      <c r="L41" s="27"/>
      <c r="M41" s="27"/>
      <c r="N41" s="27"/>
      <c r="O41" s="27"/>
      <c r="P41" s="27"/>
    </row>
    <row r="42" spans="2:16" ht="15.75" customHeight="1" x14ac:dyDescent="0.2">
      <c r="C42" s="7" t="s">
        <v>185</v>
      </c>
      <c r="D42" s="190" t="s">
        <v>219</v>
      </c>
      <c r="E42" s="191"/>
      <c r="F42" s="191"/>
      <c r="G42" s="191"/>
      <c r="H42" s="192"/>
      <c r="I42" s="19">
        <f>ROUND(+I39*'Salários e Custos'!F40,2)</f>
        <v>3572.1</v>
      </c>
      <c r="L42" s="27"/>
      <c r="M42" s="27"/>
      <c r="N42" s="27"/>
      <c r="O42" s="27"/>
      <c r="P42" s="27"/>
    </row>
    <row r="43" spans="2:16" ht="15.75" customHeight="1" x14ac:dyDescent="0.2">
      <c r="C43" s="78"/>
      <c r="D43" s="15"/>
      <c r="E43" s="15"/>
      <c r="F43" s="15"/>
      <c r="G43" s="15"/>
      <c r="H43" s="15"/>
      <c r="I43" s="21"/>
      <c r="L43" s="27"/>
      <c r="M43" s="27"/>
      <c r="N43" s="27"/>
      <c r="O43" s="27"/>
      <c r="P43" s="27"/>
    </row>
    <row r="44" spans="2:16" ht="15.75" customHeight="1" x14ac:dyDescent="0.2">
      <c r="C44" s="7" t="s">
        <v>205</v>
      </c>
      <c r="D44" s="190" t="s">
        <v>188</v>
      </c>
      <c r="E44" s="191"/>
      <c r="F44" s="191"/>
      <c r="G44" s="191"/>
      <c r="H44" s="192"/>
      <c r="I44" s="19">
        <f>+I39+I42</f>
        <v>33339.64</v>
      </c>
    </row>
    <row r="45" spans="2:16" ht="15.75" customHeight="1" x14ac:dyDescent="0.2">
      <c r="C45" s="7"/>
      <c r="D45" s="73"/>
      <c r="E45" s="74"/>
      <c r="F45" s="74"/>
      <c r="G45" s="74"/>
      <c r="H45" s="75"/>
      <c r="I45" s="19"/>
    </row>
    <row r="46" spans="2:16" ht="15.75" customHeight="1" x14ac:dyDescent="0.2">
      <c r="C46" s="7" t="s">
        <v>186</v>
      </c>
      <c r="D46" s="190" t="s">
        <v>218</v>
      </c>
      <c r="E46" s="191"/>
      <c r="F46" s="191"/>
      <c r="G46" s="191"/>
      <c r="H46" s="192"/>
      <c r="I46" s="19">
        <f>ROUND(+I44*'Salários e Custos'!F41,2)</f>
        <v>5541.05</v>
      </c>
      <c r="K46" s="27"/>
    </row>
    <row r="47" spans="2:16" ht="15.75" customHeight="1" x14ac:dyDescent="0.2">
      <c r="C47" s="18"/>
      <c r="D47" s="15"/>
      <c r="E47" s="15"/>
      <c r="F47" s="15"/>
      <c r="G47" s="15"/>
      <c r="H47" s="15"/>
      <c r="I47" s="21"/>
      <c r="K47" s="76"/>
    </row>
    <row r="48" spans="2:16" s="6" customFormat="1" ht="15.75" customHeight="1" x14ac:dyDescent="0.25">
      <c r="C48" s="193" t="s">
        <v>206</v>
      </c>
      <c r="D48" s="194"/>
      <c r="E48" s="194"/>
      <c r="F48" s="194"/>
      <c r="G48" s="194"/>
      <c r="H48" s="195"/>
      <c r="I48" s="19">
        <f>+I44+I46</f>
        <v>38880.69</v>
      </c>
      <c r="J48" s="20"/>
      <c r="K48" s="83"/>
    </row>
    <row r="49" spans="9:11" x14ac:dyDescent="0.2">
      <c r="I49" s="22"/>
      <c r="K49" s="27"/>
    </row>
    <row r="50" spans="9:11" x14ac:dyDescent="0.2">
      <c r="I50" s="25"/>
      <c r="K50" s="27"/>
    </row>
    <row r="51" spans="9:11" x14ac:dyDescent="0.2">
      <c r="I51" s="25"/>
    </row>
    <row r="52" spans="9:11" x14ac:dyDescent="0.2">
      <c r="I52" s="25"/>
    </row>
  </sheetData>
  <sheetProtection password="CC51" sheet="1" objects="1" scenarios="1"/>
  <mergeCells count="21">
    <mergeCell ref="C1:J1"/>
    <mergeCell ref="C3:I3"/>
    <mergeCell ref="D39:H39"/>
    <mergeCell ref="D41:H41"/>
    <mergeCell ref="D42:H42"/>
    <mergeCell ref="D6:H6"/>
    <mergeCell ref="C8:C9"/>
    <mergeCell ref="D8:D9"/>
    <mergeCell ref="E8:E9"/>
    <mergeCell ref="F8:G8"/>
    <mergeCell ref="H8:I8"/>
    <mergeCell ref="C4:I4"/>
    <mergeCell ref="C5:I5"/>
    <mergeCell ref="D44:H44"/>
    <mergeCell ref="D46:H46"/>
    <mergeCell ref="C48:H48"/>
    <mergeCell ref="D31:H31"/>
    <mergeCell ref="L31:N31"/>
    <mergeCell ref="D37:H37"/>
    <mergeCell ref="D32:H32"/>
    <mergeCell ref="D33:H33"/>
  </mergeCells>
  <printOptions horizontalCentered="1"/>
  <pageMargins left="0.39370078740157483" right="0.39370078740157483" top="0.39370078740157483" bottom="0.39370078740157483" header="0.51181102362204722" footer="0.51181102362204722"/>
  <pageSetup paperSize="260" scale="70" orientation="portrait" horizontalDpi="4294967295" verticalDpi="300" r:id="rId1"/>
  <headerFooter alignWithMargins="0">
    <oddFooter>&amp;L&amp;8&amp;F/&amp;A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Q154"/>
  <sheetViews>
    <sheetView showGridLines="0" zoomScale="85" zoomScaleNormal="85" workbookViewId="0">
      <selection activeCell="C26" sqref="C26"/>
    </sheetView>
  </sheetViews>
  <sheetFormatPr defaultRowHeight="15" x14ac:dyDescent="0.25"/>
  <cols>
    <col min="1" max="1" width="23.85546875" customWidth="1"/>
    <col min="2" max="2" width="32" bestFit="1" customWidth="1"/>
    <col min="3" max="3" width="7.42578125" customWidth="1"/>
    <col min="4" max="4" width="18" customWidth="1"/>
    <col min="5" max="5" width="1.140625" customWidth="1"/>
    <col min="6" max="6" width="10.5703125" customWidth="1"/>
    <col min="7" max="8" width="11.5703125" customWidth="1"/>
    <col min="9" max="9" width="1.140625" customWidth="1"/>
    <col min="10" max="10" width="9.140625" customWidth="1"/>
    <col min="11" max="12" width="13.7109375" customWidth="1"/>
    <col min="13" max="13" width="1.140625" customWidth="1"/>
    <col min="14" max="14" width="9.140625" customWidth="1"/>
    <col min="15" max="16" width="12.85546875" customWidth="1"/>
    <col min="17" max="17" width="13.28515625" bestFit="1" customWidth="1"/>
  </cols>
  <sheetData>
    <row r="2" spans="1:16" ht="21" x14ac:dyDescent="0.35">
      <c r="A2" s="216" t="s">
        <v>239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41.25" customHeight="1" x14ac:dyDescent="0.35">
      <c r="A3" s="218" t="s">
        <v>240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21.75" customHeight="1" x14ac:dyDescent="0.25">
      <c r="A4" s="210" t="s">
        <v>238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6" ht="21.75" customHeight="1" x14ac:dyDescent="0.35">
      <c r="A5" s="219" t="s">
        <v>220</v>
      </c>
      <c r="B5" s="219"/>
      <c r="C5" s="219"/>
      <c r="D5" s="219"/>
      <c r="E5" s="146"/>
      <c r="F5" s="147">
        <v>20</v>
      </c>
      <c r="G5" s="209" t="s">
        <v>229</v>
      </c>
      <c r="H5" s="209"/>
      <c r="I5" s="209"/>
      <c r="J5" s="209"/>
      <c r="K5" s="209"/>
      <c r="L5" s="209"/>
      <c r="M5" s="209"/>
      <c r="N5" s="209"/>
      <c r="O5" s="209"/>
      <c r="P5" s="209"/>
    </row>
    <row r="6" spans="1:16" ht="21.75" customHeight="1" x14ac:dyDescent="0.35">
      <c r="A6" s="223" t="s">
        <v>222</v>
      </c>
      <c r="B6" s="223"/>
      <c r="C6" s="126"/>
      <c r="D6" s="129" t="s">
        <v>223</v>
      </c>
      <c r="E6" s="130"/>
      <c r="F6" s="131" t="s">
        <v>224</v>
      </c>
      <c r="G6" s="128"/>
      <c r="H6" s="50"/>
      <c r="J6" s="50"/>
      <c r="K6" s="50"/>
      <c r="L6" s="50"/>
      <c r="N6" s="50"/>
      <c r="O6" s="50"/>
      <c r="P6" s="50"/>
    </row>
    <row r="7" spans="1:16" ht="21.75" customHeight="1" x14ac:dyDescent="0.35">
      <c r="A7" s="57" t="s">
        <v>221</v>
      </c>
      <c r="B7" s="57"/>
      <c r="C7" s="57"/>
      <c r="D7" s="129" t="s">
        <v>113</v>
      </c>
      <c r="E7" s="130"/>
      <c r="F7" s="129">
        <v>1</v>
      </c>
      <c r="G7" s="55"/>
      <c r="H7" s="57"/>
      <c r="I7" s="58"/>
      <c r="J7" s="57"/>
      <c r="K7" s="57"/>
      <c r="L7" s="50"/>
      <c r="N7" s="50"/>
      <c r="O7" s="50"/>
      <c r="P7" s="50"/>
    </row>
    <row r="8" spans="1:16" ht="21.75" customHeight="1" x14ac:dyDescent="0.35">
      <c r="A8" s="57" t="s">
        <v>123</v>
      </c>
      <c r="B8" s="57"/>
      <c r="C8" s="57"/>
      <c r="D8" s="129" t="s">
        <v>118</v>
      </c>
      <c r="E8" s="130"/>
      <c r="F8" s="129">
        <v>1</v>
      </c>
      <c r="G8" s="56"/>
      <c r="H8" s="57"/>
      <c r="I8" s="58"/>
      <c r="J8" s="57"/>
      <c r="K8" s="57"/>
      <c r="L8" s="50"/>
      <c r="N8" s="50"/>
      <c r="O8" s="50"/>
      <c r="P8" s="50"/>
    </row>
    <row r="9" spans="1:16" ht="21.75" customHeight="1" x14ac:dyDescent="0.35">
      <c r="A9" s="57" t="s">
        <v>124</v>
      </c>
      <c r="B9" s="57"/>
      <c r="C9" s="57"/>
      <c r="D9" s="129" t="s">
        <v>119</v>
      </c>
      <c r="E9" s="130"/>
      <c r="F9" s="129">
        <v>1</v>
      </c>
      <c r="G9" s="55"/>
      <c r="H9" s="57"/>
      <c r="I9" s="58"/>
      <c r="J9" s="57"/>
      <c r="K9" s="57"/>
      <c r="L9" s="50"/>
      <c r="N9" s="50"/>
      <c r="O9" s="50"/>
      <c r="P9" s="50"/>
    </row>
    <row r="10" spans="1:16" ht="21.75" customHeight="1" x14ac:dyDescent="0.35">
      <c r="A10" s="57" t="s">
        <v>114</v>
      </c>
      <c r="B10" s="57"/>
      <c r="C10" s="57"/>
      <c r="D10" s="129" t="s">
        <v>119</v>
      </c>
      <c r="E10" s="130"/>
      <c r="F10" s="129">
        <v>1</v>
      </c>
      <c r="G10" s="55"/>
      <c r="H10" s="57"/>
      <c r="I10" s="58"/>
      <c r="J10" s="57"/>
      <c r="K10" s="57"/>
      <c r="L10" s="50"/>
      <c r="N10" s="50"/>
      <c r="O10" s="50"/>
      <c r="P10" s="50"/>
    </row>
    <row r="11" spans="1:16" ht="21.75" customHeight="1" x14ac:dyDescent="0.35">
      <c r="A11" s="127" t="s">
        <v>117</v>
      </c>
      <c r="B11" s="140">
        <v>22</v>
      </c>
      <c r="F11" s="57"/>
    </row>
    <row r="12" spans="1:16" s="51" customFormat="1" ht="52.5" customHeight="1" x14ac:dyDescent="0.25">
      <c r="A12" s="215" t="s">
        <v>193</v>
      </c>
      <c r="B12" s="215"/>
      <c r="C12" s="215" t="s">
        <v>116</v>
      </c>
      <c r="D12" s="215"/>
      <c r="E12" s="88"/>
      <c r="F12" s="205" t="s">
        <v>197</v>
      </c>
      <c r="G12" s="205"/>
      <c r="H12" s="205"/>
      <c r="I12" s="88"/>
      <c r="J12" s="206" t="s">
        <v>207</v>
      </c>
      <c r="K12" s="206"/>
      <c r="L12" s="206"/>
      <c r="M12" s="88"/>
      <c r="N12" s="205" t="s">
        <v>179</v>
      </c>
      <c r="O12" s="205"/>
      <c r="P12" s="205"/>
    </row>
    <row r="13" spans="1:16" s="43" customFormat="1" x14ac:dyDescent="0.25">
      <c r="A13" s="215"/>
      <c r="B13" s="215"/>
      <c r="C13" s="215"/>
      <c r="D13" s="215"/>
      <c r="E13" s="89"/>
      <c r="F13" s="94" t="s">
        <v>101</v>
      </c>
      <c r="G13" s="94" t="s">
        <v>109</v>
      </c>
      <c r="H13" s="94" t="s">
        <v>110</v>
      </c>
      <c r="I13" s="89"/>
      <c r="J13" s="95" t="s">
        <v>115</v>
      </c>
      <c r="K13" s="95" t="s">
        <v>109</v>
      </c>
      <c r="L13" s="95" t="s">
        <v>110</v>
      </c>
      <c r="M13" s="89"/>
      <c r="N13" s="94" t="s">
        <v>115</v>
      </c>
      <c r="O13" s="94" t="s">
        <v>109</v>
      </c>
      <c r="P13" s="94" t="s">
        <v>110</v>
      </c>
    </row>
    <row r="14" spans="1:16" s="43" customFormat="1" ht="15" customHeight="1" x14ac:dyDescent="0.25">
      <c r="A14" s="220" t="s">
        <v>102</v>
      </c>
      <c r="B14" s="215" t="s">
        <v>103</v>
      </c>
      <c r="C14" s="138" t="s">
        <v>17</v>
      </c>
      <c r="D14" s="93">
        <f>SUMIF('Salários e Custos'!C:C,'Produto 2 - Cálculo Esforço'!$C14,'Salários e Custos'!F:F)</f>
        <v>11347.68</v>
      </c>
      <c r="E14" s="89"/>
      <c r="F14" s="139">
        <v>3</v>
      </c>
      <c r="G14" s="92">
        <f>ROUND(+$D14*F14/$B$11,2)</f>
        <v>1547.41</v>
      </c>
      <c r="H14" s="207">
        <f>SUM(G14:G17)</f>
        <v>2054.25</v>
      </c>
      <c r="I14" s="89"/>
      <c r="J14" s="138">
        <v>5</v>
      </c>
      <c r="K14" s="93">
        <f>ROUND(+$D14*J14/$B$11,2)</f>
        <v>2579.02</v>
      </c>
      <c r="L14" s="208">
        <f>SUM(K14:K17)</f>
        <v>3085.8599999999997</v>
      </c>
      <c r="M14" s="89"/>
      <c r="N14" s="139">
        <v>4</v>
      </c>
      <c r="O14" s="92">
        <f>ROUND(+$D14*N14/$B$11,2)</f>
        <v>2063.21</v>
      </c>
      <c r="P14" s="207">
        <f>SUM(O14:O17)</f>
        <v>2570.0500000000002</v>
      </c>
    </row>
    <row r="15" spans="1:16" s="43" customFormat="1" ht="15" customHeight="1" x14ac:dyDescent="0.25">
      <c r="A15" s="221"/>
      <c r="B15" s="215"/>
      <c r="C15" s="138" t="s">
        <v>28</v>
      </c>
      <c r="D15" s="93">
        <f>SUMIF('Salários e Custos'!C:C,'Produto 2 - Cálculo Esforço'!$C15,'Salários e Custos'!F:F)</f>
        <v>3793.13</v>
      </c>
      <c r="E15" s="89"/>
      <c r="F15" s="139">
        <v>2</v>
      </c>
      <c r="G15" s="92">
        <f t="shared" ref="G15:G121" si="0">ROUND(+$D15*F15/$B$11,2)</f>
        <v>344.83</v>
      </c>
      <c r="H15" s="207"/>
      <c r="I15" s="89"/>
      <c r="J15" s="138">
        <v>2</v>
      </c>
      <c r="K15" s="93">
        <f t="shared" ref="K15:K121" si="1">ROUND(+$D15*J15/$B$11,2)</f>
        <v>344.83</v>
      </c>
      <c r="L15" s="208"/>
      <c r="M15" s="89"/>
      <c r="N15" s="139">
        <v>2</v>
      </c>
      <c r="O15" s="92">
        <f t="shared" ref="O15:O121" si="2">ROUND(+$D15*N15/$B$11,2)</f>
        <v>344.83</v>
      </c>
      <c r="P15" s="207"/>
    </row>
    <row r="16" spans="1:16" s="43" customFormat="1" ht="15" customHeight="1" x14ac:dyDescent="0.25">
      <c r="A16" s="221"/>
      <c r="B16" s="215"/>
      <c r="C16" s="138" t="s">
        <v>56</v>
      </c>
      <c r="D16" s="93">
        <f>SUMIF('Salários e Custos'!C:C,'Produto 2 - Cálculo Esforço'!$C16,'Salários e Custos'!F:F)</f>
        <v>1782.1</v>
      </c>
      <c r="E16" s="89"/>
      <c r="F16" s="139">
        <v>2</v>
      </c>
      <c r="G16" s="92">
        <f t="shared" si="0"/>
        <v>162.01</v>
      </c>
      <c r="H16" s="207"/>
      <c r="I16" s="89"/>
      <c r="J16" s="138">
        <v>2</v>
      </c>
      <c r="K16" s="93">
        <f t="shared" si="1"/>
        <v>162.01</v>
      </c>
      <c r="L16" s="208"/>
      <c r="M16" s="89"/>
      <c r="N16" s="139">
        <v>2</v>
      </c>
      <c r="O16" s="92">
        <f t="shared" si="2"/>
        <v>162.01</v>
      </c>
      <c r="P16" s="207"/>
    </row>
    <row r="17" spans="1:16" s="43" customFormat="1" ht="15.75" customHeight="1" x14ac:dyDescent="0.25">
      <c r="A17" s="221"/>
      <c r="B17" s="215"/>
      <c r="C17" s="138"/>
      <c r="D17" s="93">
        <f>SUMIF('Salários e Custos'!C:C,'Produto 2 - Cálculo Esforço'!$C17,'Salários e Custos'!F:F)</f>
        <v>0</v>
      </c>
      <c r="E17" s="89"/>
      <c r="F17" s="139"/>
      <c r="G17" s="92">
        <f t="shared" si="0"/>
        <v>0</v>
      </c>
      <c r="H17" s="207"/>
      <c r="I17" s="89"/>
      <c r="J17" s="138"/>
      <c r="K17" s="93">
        <f t="shared" si="1"/>
        <v>0</v>
      </c>
      <c r="L17" s="208"/>
      <c r="M17" s="89"/>
      <c r="N17" s="139"/>
      <c r="O17" s="92">
        <f t="shared" si="2"/>
        <v>0</v>
      </c>
      <c r="P17" s="207"/>
    </row>
    <row r="18" spans="1:16" s="43" customFormat="1" ht="15" customHeight="1" x14ac:dyDescent="0.25">
      <c r="A18" s="221"/>
      <c r="B18" s="215" t="s">
        <v>148</v>
      </c>
      <c r="C18" s="138" t="s">
        <v>18</v>
      </c>
      <c r="D18" s="93">
        <f>SUMIF('Salários e Custos'!C:C,'Produto 2 - Cálculo Esforço'!$C18,'Salários e Custos'!F:F)</f>
        <v>9335.82</v>
      </c>
      <c r="E18" s="89"/>
      <c r="F18" s="139">
        <v>2</v>
      </c>
      <c r="G18" s="92">
        <f t="shared" si="0"/>
        <v>848.71</v>
      </c>
      <c r="H18" s="207">
        <f>SUM(G18:G21)</f>
        <v>1238.71</v>
      </c>
      <c r="I18" s="89"/>
      <c r="J18" s="138">
        <v>4</v>
      </c>
      <c r="K18" s="93">
        <f t="shared" si="1"/>
        <v>1697.42</v>
      </c>
      <c r="L18" s="208">
        <f>SUM(K18:K21)</f>
        <v>2087.42</v>
      </c>
      <c r="M18" s="89"/>
      <c r="N18" s="139">
        <v>3</v>
      </c>
      <c r="O18" s="92">
        <f t="shared" si="2"/>
        <v>1273.07</v>
      </c>
      <c r="P18" s="207">
        <f>SUM(O18:O21)</f>
        <v>2053.06</v>
      </c>
    </row>
    <row r="19" spans="1:16" s="43" customFormat="1" ht="15" customHeight="1" x14ac:dyDescent="0.25">
      <c r="A19" s="221"/>
      <c r="B19" s="215"/>
      <c r="C19" s="138" t="s">
        <v>26</v>
      </c>
      <c r="D19" s="93">
        <f>SUMIF('Salários e Custos'!C:C,'Produto 2 - Cálculo Esforço'!$C19,'Salários e Custos'!F:F)</f>
        <v>5015.7</v>
      </c>
      <c r="E19" s="89"/>
      <c r="F19" s="139">
        <v>1</v>
      </c>
      <c r="G19" s="92">
        <f t="shared" ref="G19:G20" si="3">ROUND(+$D19*F19/$B$11,2)</f>
        <v>227.99</v>
      </c>
      <c r="H19" s="207"/>
      <c r="I19" s="89"/>
      <c r="J19" s="138">
        <v>1</v>
      </c>
      <c r="K19" s="93">
        <f t="shared" ref="K19:K20" si="4">ROUND(+$D19*J19/$B$11,2)</f>
        <v>227.99</v>
      </c>
      <c r="L19" s="208"/>
      <c r="M19" s="89"/>
      <c r="N19" s="139">
        <v>2</v>
      </c>
      <c r="O19" s="92">
        <f t="shared" ref="O19:O20" si="5">ROUND(+$D19*N19/$B$11,2)</f>
        <v>455.97</v>
      </c>
      <c r="P19" s="207"/>
    </row>
    <row r="20" spans="1:16" s="43" customFormat="1" ht="15" customHeight="1" x14ac:dyDescent="0.25">
      <c r="A20" s="221"/>
      <c r="B20" s="215"/>
      <c r="C20" s="138" t="s">
        <v>56</v>
      </c>
      <c r="D20" s="93">
        <f>SUMIF('Salários e Custos'!C:C,'Produto 2 - Cálculo Esforço'!$C20,'Salários e Custos'!F:F)</f>
        <v>1782.1</v>
      </c>
      <c r="E20" s="89"/>
      <c r="F20" s="139">
        <v>2</v>
      </c>
      <c r="G20" s="92">
        <f t="shared" si="3"/>
        <v>162.01</v>
      </c>
      <c r="H20" s="207"/>
      <c r="I20" s="89"/>
      <c r="J20" s="138">
        <v>2</v>
      </c>
      <c r="K20" s="93">
        <f t="shared" si="4"/>
        <v>162.01</v>
      </c>
      <c r="L20" s="208"/>
      <c r="M20" s="89"/>
      <c r="N20" s="139">
        <v>4</v>
      </c>
      <c r="O20" s="92">
        <f t="shared" si="5"/>
        <v>324.02</v>
      </c>
      <c r="P20" s="207"/>
    </row>
    <row r="21" spans="1:16" s="43" customFormat="1" ht="15.75" customHeight="1" x14ac:dyDescent="0.25">
      <c r="A21" s="221"/>
      <c r="B21" s="215"/>
      <c r="C21" s="138"/>
      <c r="D21" s="93">
        <f>SUMIF('Salários e Custos'!C:C,'Produto 2 - Cálculo Esforço'!$C21,'Salários e Custos'!F:F)</f>
        <v>0</v>
      </c>
      <c r="E21" s="89"/>
      <c r="F21" s="139"/>
      <c r="G21" s="92">
        <f t="shared" si="0"/>
        <v>0</v>
      </c>
      <c r="H21" s="207"/>
      <c r="I21" s="89"/>
      <c r="J21" s="138"/>
      <c r="K21" s="93">
        <f t="shared" si="1"/>
        <v>0</v>
      </c>
      <c r="L21" s="208"/>
      <c r="M21" s="89"/>
      <c r="N21" s="139"/>
      <c r="O21" s="92">
        <f t="shared" si="2"/>
        <v>0</v>
      </c>
      <c r="P21" s="207"/>
    </row>
    <row r="22" spans="1:16" s="43" customFormat="1" ht="15" customHeight="1" x14ac:dyDescent="0.25">
      <c r="A22" s="221"/>
      <c r="B22" s="215" t="s">
        <v>147</v>
      </c>
      <c r="C22" s="138" t="s">
        <v>18</v>
      </c>
      <c r="D22" s="93">
        <f>SUMIF('Salários e Custos'!C:C,'Produto 2 - Cálculo Esforço'!$C22,'Salários e Custos'!F:F)</f>
        <v>9335.82</v>
      </c>
      <c r="E22" s="89"/>
      <c r="F22" s="139">
        <v>5</v>
      </c>
      <c r="G22" s="92">
        <f t="shared" si="0"/>
        <v>2121.7800000000002</v>
      </c>
      <c r="H22" s="207">
        <f>SUM(G22:G25)</f>
        <v>3084.5</v>
      </c>
      <c r="I22" s="89"/>
      <c r="J22" s="138">
        <v>7</v>
      </c>
      <c r="K22" s="93">
        <f t="shared" si="1"/>
        <v>2970.49</v>
      </c>
      <c r="L22" s="208">
        <f>SUM(K22:K25)</f>
        <v>3933.21</v>
      </c>
      <c r="M22" s="89"/>
      <c r="N22" s="139">
        <v>5</v>
      </c>
      <c r="O22" s="92">
        <f t="shared" si="2"/>
        <v>2121.7800000000002</v>
      </c>
      <c r="P22" s="207">
        <f>SUM(O22:O25)</f>
        <v>2763.59</v>
      </c>
    </row>
    <row r="23" spans="1:16" s="43" customFormat="1" ht="15" customHeight="1" x14ac:dyDescent="0.25">
      <c r="A23" s="221"/>
      <c r="B23" s="215"/>
      <c r="C23" s="138" t="s">
        <v>26</v>
      </c>
      <c r="D23" s="93">
        <f>SUMIF('Salários e Custos'!C:C,'Produto 2 - Cálculo Esforço'!$C23,'Salários e Custos'!F:F)</f>
        <v>5015.7</v>
      </c>
      <c r="E23" s="89"/>
      <c r="F23" s="139">
        <v>3</v>
      </c>
      <c r="G23" s="92">
        <f t="shared" si="0"/>
        <v>683.96</v>
      </c>
      <c r="H23" s="207"/>
      <c r="I23" s="89"/>
      <c r="J23" s="138">
        <v>3</v>
      </c>
      <c r="K23" s="93">
        <f t="shared" si="1"/>
        <v>683.96</v>
      </c>
      <c r="L23" s="208"/>
      <c r="M23" s="89"/>
      <c r="N23" s="139">
        <v>2</v>
      </c>
      <c r="O23" s="92">
        <f t="shared" si="2"/>
        <v>455.97</v>
      </c>
      <c r="P23" s="207"/>
    </row>
    <row r="24" spans="1:16" s="43" customFormat="1" ht="15" customHeight="1" x14ac:dyDescent="0.25">
      <c r="A24" s="221"/>
      <c r="B24" s="215"/>
      <c r="C24" s="138" t="s">
        <v>39</v>
      </c>
      <c r="D24" s="93">
        <f>SUMIF('Salários e Custos'!C:C,'Produto 2 - Cálculo Esforço'!$C24,'Salários e Custos'!F:F)</f>
        <v>2044.22</v>
      </c>
      <c r="E24" s="89"/>
      <c r="F24" s="139">
        <v>3</v>
      </c>
      <c r="G24" s="92">
        <f t="shared" si="0"/>
        <v>278.76</v>
      </c>
      <c r="H24" s="207"/>
      <c r="I24" s="89"/>
      <c r="J24" s="138">
        <v>3</v>
      </c>
      <c r="K24" s="93">
        <f t="shared" si="1"/>
        <v>278.76</v>
      </c>
      <c r="L24" s="208"/>
      <c r="M24" s="89"/>
      <c r="N24" s="139">
        <v>2</v>
      </c>
      <c r="O24" s="92">
        <f t="shared" si="2"/>
        <v>185.84</v>
      </c>
      <c r="P24" s="207"/>
    </row>
    <row r="25" spans="1:16" s="43" customFormat="1" ht="15.75" customHeight="1" x14ac:dyDescent="0.25">
      <c r="A25" s="221"/>
      <c r="B25" s="215"/>
      <c r="C25" s="138"/>
      <c r="D25" s="93">
        <f>SUMIF('Salários e Custos'!C:C,'Produto 2 - Cálculo Esforço'!$C25,'Salários e Custos'!F:F)</f>
        <v>0</v>
      </c>
      <c r="E25" s="89"/>
      <c r="F25" s="139"/>
      <c r="G25" s="92">
        <f t="shared" si="0"/>
        <v>0</v>
      </c>
      <c r="H25" s="207"/>
      <c r="I25" s="89"/>
      <c r="J25" s="138"/>
      <c r="K25" s="93">
        <f t="shared" si="1"/>
        <v>0</v>
      </c>
      <c r="L25" s="208"/>
      <c r="M25" s="89"/>
      <c r="N25" s="139"/>
      <c r="O25" s="92">
        <f t="shared" si="2"/>
        <v>0</v>
      </c>
      <c r="P25" s="207"/>
    </row>
    <row r="26" spans="1:16" s="43" customFormat="1" ht="15" customHeight="1" x14ac:dyDescent="0.25">
      <c r="A26" s="221"/>
      <c r="B26" s="215" t="s">
        <v>169</v>
      </c>
      <c r="C26" s="138" t="s">
        <v>18</v>
      </c>
      <c r="D26" s="93">
        <f>SUMIF('Salários e Custos'!C:C,'Produto 2 - Cálculo Esforço'!$C26,'Salários e Custos'!F:F)</f>
        <v>9335.82</v>
      </c>
      <c r="E26" s="89"/>
      <c r="F26" s="139">
        <v>5</v>
      </c>
      <c r="G26" s="92">
        <f t="shared" si="0"/>
        <v>2121.7800000000002</v>
      </c>
      <c r="H26" s="207">
        <f>SUM(G26:G29)</f>
        <v>2763.59</v>
      </c>
      <c r="I26" s="89"/>
      <c r="J26" s="138">
        <v>5</v>
      </c>
      <c r="K26" s="93">
        <f t="shared" si="1"/>
        <v>2121.7800000000002</v>
      </c>
      <c r="L26" s="208">
        <f>SUM(K26:K29)</f>
        <v>2763.59</v>
      </c>
      <c r="M26" s="89"/>
      <c r="N26" s="139"/>
      <c r="O26" s="92">
        <f t="shared" si="2"/>
        <v>0</v>
      </c>
      <c r="P26" s="207">
        <f>SUM(O26:O29)</f>
        <v>0</v>
      </c>
    </row>
    <row r="27" spans="1:16" s="43" customFormat="1" ht="15" customHeight="1" x14ac:dyDescent="0.25">
      <c r="A27" s="221"/>
      <c r="B27" s="215"/>
      <c r="C27" s="138" t="s">
        <v>26</v>
      </c>
      <c r="D27" s="93">
        <f>SUMIF('Salários e Custos'!C:C,'Produto 2 - Cálculo Esforço'!$C27,'Salários e Custos'!F:F)</f>
        <v>5015.7</v>
      </c>
      <c r="E27" s="89"/>
      <c r="F27" s="139">
        <v>2</v>
      </c>
      <c r="G27" s="92">
        <f t="shared" si="0"/>
        <v>455.97</v>
      </c>
      <c r="H27" s="207"/>
      <c r="I27" s="89"/>
      <c r="J27" s="138">
        <v>2</v>
      </c>
      <c r="K27" s="93">
        <f t="shared" si="1"/>
        <v>455.97</v>
      </c>
      <c r="L27" s="208"/>
      <c r="M27" s="89"/>
      <c r="N27" s="139"/>
      <c r="O27" s="92">
        <f t="shared" si="2"/>
        <v>0</v>
      </c>
      <c r="P27" s="207"/>
    </row>
    <row r="28" spans="1:16" s="43" customFormat="1" ht="15" customHeight="1" x14ac:dyDescent="0.25">
      <c r="A28" s="221"/>
      <c r="B28" s="215"/>
      <c r="C28" s="138" t="s">
        <v>39</v>
      </c>
      <c r="D28" s="93">
        <f>SUMIF('Salários e Custos'!C:C,'Produto 2 - Cálculo Esforço'!$C28,'Salários e Custos'!F:F)</f>
        <v>2044.22</v>
      </c>
      <c r="E28" s="89"/>
      <c r="F28" s="139">
        <v>2</v>
      </c>
      <c r="G28" s="92">
        <f t="shared" si="0"/>
        <v>185.84</v>
      </c>
      <c r="H28" s="207"/>
      <c r="I28" s="89"/>
      <c r="J28" s="138">
        <v>2</v>
      </c>
      <c r="K28" s="93">
        <f t="shared" si="1"/>
        <v>185.84</v>
      </c>
      <c r="L28" s="208"/>
      <c r="M28" s="89"/>
      <c r="N28" s="139"/>
      <c r="O28" s="92">
        <f t="shared" si="2"/>
        <v>0</v>
      </c>
      <c r="P28" s="207"/>
    </row>
    <row r="29" spans="1:16" s="43" customFormat="1" ht="15.75" customHeight="1" x14ac:dyDescent="0.25">
      <c r="A29" s="221"/>
      <c r="B29" s="215"/>
      <c r="C29" s="138"/>
      <c r="D29" s="93">
        <f>SUMIF('Salários e Custos'!C:C,'Produto 2 - Cálculo Esforço'!$C29,'Salários e Custos'!F:F)</f>
        <v>0</v>
      </c>
      <c r="E29" s="89"/>
      <c r="F29" s="139"/>
      <c r="G29" s="92">
        <f t="shared" si="0"/>
        <v>0</v>
      </c>
      <c r="H29" s="207"/>
      <c r="I29" s="89"/>
      <c r="J29" s="138"/>
      <c r="K29" s="93">
        <f t="shared" si="1"/>
        <v>0</v>
      </c>
      <c r="L29" s="208"/>
      <c r="M29" s="89"/>
      <c r="N29" s="139"/>
      <c r="O29" s="92">
        <f t="shared" si="2"/>
        <v>0</v>
      </c>
      <c r="P29" s="207"/>
    </row>
    <row r="30" spans="1:16" s="43" customFormat="1" ht="15.75" customHeight="1" x14ac:dyDescent="0.25">
      <c r="A30" s="221"/>
      <c r="B30" s="212" t="s">
        <v>146</v>
      </c>
      <c r="C30" s="138" t="s">
        <v>18</v>
      </c>
      <c r="D30" s="93">
        <f>SUMIF('Salários e Custos'!C:C,'Produto 2 - Cálculo Esforço'!$C30,'Salários e Custos'!F:F)</f>
        <v>9335.82</v>
      </c>
      <c r="E30" s="89"/>
      <c r="F30" s="139">
        <v>2</v>
      </c>
      <c r="G30" s="92">
        <f t="shared" si="0"/>
        <v>848.71</v>
      </c>
      <c r="H30" s="207">
        <f>SUM(G30:G33)</f>
        <v>848.71</v>
      </c>
      <c r="I30" s="89"/>
      <c r="J30" s="138">
        <v>2</v>
      </c>
      <c r="K30" s="93">
        <f t="shared" si="1"/>
        <v>848.71</v>
      </c>
      <c r="L30" s="207">
        <f>SUM(K30:K33)</f>
        <v>848.71</v>
      </c>
      <c r="M30" s="89"/>
      <c r="N30" s="139">
        <v>3</v>
      </c>
      <c r="O30" s="92">
        <f t="shared" si="2"/>
        <v>1273.07</v>
      </c>
      <c r="P30" s="207">
        <f>SUM(O30:O33)</f>
        <v>1273.07</v>
      </c>
    </row>
    <row r="31" spans="1:16" s="43" customFormat="1" ht="15.75" customHeight="1" x14ac:dyDescent="0.25">
      <c r="A31" s="221"/>
      <c r="B31" s="213"/>
      <c r="C31" s="138"/>
      <c r="D31" s="93">
        <f>SUMIF('Salários e Custos'!C:C,'Produto 2 - Cálculo Esforço'!$C31,'Salários e Custos'!F:F)</f>
        <v>0</v>
      </c>
      <c r="E31" s="89"/>
      <c r="F31" s="139"/>
      <c r="G31" s="92">
        <f t="shared" si="0"/>
        <v>0</v>
      </c>
      <c r="H31" s="207"/>
      <c r="I31" s="89"/>
      <c r="J31" s="138"/>
      <c r="K31" s="93">
        <f t="shared" si="1"/>
        <v>0</v>
      </c>
      <c r="L31" s="207"/>
      <c r="M31" s="89"/>
      <c r="N31" s="139"/>
      <c r="O31" s="92">
        <f t="shared" si="2"/>
        <v>0</v>
      </c>
      <c r="P31" s="207"/>
    </row>
    <row r="32" spans="1:16" s="43" customFormat="1" ht="15.75" customHeight="1" x14ac:dyDescent="0.25">
      <c r="A32" s="221"/>
      <c r="B32" s="213"/>
      <c r="C32" s="138"/>
      <c r="D32" s="93">
        <f>SUMIF('Salários e Custos'!C:C,'Produto 2 - Cálculo Esforço'!$C32,'Salários e Custos'!F:F)</f>
        <v>0</v>
      </c>
      <c r="E32" s="89"/>
      <c r="F32" s="139"/>
      <c r="G32" s="92">
        <f t="shared" si="0"/>
        <v>0</v>
      </c>
      <c r="H32" s="207"/>
      <c r="I32" s="89"/>
      <c r="J32" s="138"/>
      <c r="K32" s="93">
        <f t="shared" si="1"/>
        <v>0</v>
      </c>
      <c r="L32" s="207"/>
      <c r="M32" s="89"/>
      <c r="N32" s="139"/>
      <c r="O32" s="92">
        <f t="shared" si="2"/>
        <v>0</v>
      </c>
      <c r="P32" s="207"/>
    </row>
    <row r="33" spans="1:16" s="43" customFormat="1" ht="15.75" customHeight="1" x14ac:dyDescent="0.25">
      <c r="A33" s="221"/>
      <c r="B33" s="214"/>
      <c r="C33" s="138"/>
      <c r="D33" s="93">
        <f>SUMIF('Salários e Custos'!C:C,'Produto 2 - Cálculo Esforço'!$C33,'Salários e Custos'!F:F)</f>
        <v>0</v>
      </c>
      <c r="E33" s="89"/>
      <c r="F33" s="139"/>
      <c r="G33" s="92">
        <f t="shared" si="0"/>
        <v>0</v>
      </c>
      <c r="H33" s="207"/>
      <c r="I33" s="89"/>
      <c r="J33" s="138"/>
      <c r="K33" s="93">
        <f t="shared" si="1"/>
        <v>0</v>
      </c>
      <c r="L33" s="207"/>
      <c r="M33" s="89"/>
      <c r="N33" s="139"/>
      <c r="O33" s="92">
        <f t="shared" si="2"/>
        <v>0</v>
      </c>
      <c r="P33" s="207"/>
    </row>
    <row r="34" spans="1:16" s="43" customFormat="1" ht="15.75" customHeight="1" x14ac:dyDescent="0.25">
      <c r="A34" s="221"/>
      <c r="B34" s="212" t="s">
        <v>111</v>
      </c>
      <c r="C34" s="138" t="s">
        <v>17</v>
      </c>
      <c r="D34" s="93">
        <f>SUMIF('Salários e Custos'!C:C,'Produto 2 - Cálculo Esforço'!$C34,'Salários e Custos'!F:F)</f>
        <v>11347.68</v>
      </c>
      <c r="E34" s="89"/>
      <c r="F34" s="139">
        <v>3</v>
      </c>
      <c r="G34" s="92">
        <f t="shared" si="0"/>
        <v>1547.41</v>
      </c>
      <c r="H34" s="207">
        <f>SUM(G34:G37)</f>
        <v>1547.41</v>
      </c>
      <c r="I34" s="89"/>
      <c r="J34" s="138">
        <v>7</v>
      </c>
      <c r="K34" s="93">
        <f t="shared" si="1"/>
        <v>3610.63</v>
      </c>
      <c r="L34" s="207">
        <f>SUM(K34:K37)</f>
        <v>3610.63</v>
      </c>
      <c r="M34" s="89"/>
      <c r="N34" s="139">
        <v>10</v>
      </c>
      <c r="O34" s="92">
        <f t="shared" si="2"/>
        <v>5158.04</v>
      </c>
      <c r="P34" s="207">
        <f>SUM(O34:O37)</f>
        <v>5158.04</v>
      </c>
    </row>
    <row r="35" spans="1:16" s="43" customFormat="1" ht="15.75" customHeight="1" x14ac:dyDescent="0.25">
      <c r="A35" s="221"/>
      <c r="B35" s="213"/>
      <c r="C35" s="138"/>
      <c r="D35" s="93">
        <f>SUMIF('Salários e Custos'!C:C,'Produto 2 - Cálculo Esforço'!$C35,'Salários e Custos'!F:F)</f>
        <v>0</v>
      </c>
      <c r="E35" s="89"/>
      <c r="F35" s="139"/>
      <c r="G35" s="92">
        <f t="shared" ref="G35:G37" si="6">ROUND(+$D35*F35/$B$11,2)</f>
        <v>0</v>
      </c>
      <c r="H35" s="207"/>
      <c r="I35" s="89"/>
      <c r="J35" s="139"/>
      <c r="K35" s="92">
        <f t="shared" si="1"/>
        <v>0</v>
      </c>
      <c r="L35" s="207"/>
      <c r="M35" s="89"/>
      <c r="N35" s="139"/>
      <c r="O35" s="92">
        <f t="shared" si="2"/>
        <v>0</v>
      </c>
      <c r="P35" s="207"/>
    </row>
    <row r="36" spans="1:16" s="43" customFormat="1" ht="15.75" customHeight="1" x14ac:dyDescent="0.25">
      <c r="A36" s="221"/>
      <c r="B36" s="213"/>
      <c r="C36" s="138"/>
      <c r="D36" s="93">
        <f>SUMIF('Salários e Custos'!C:C,'Produto 2 - Cálculo Esforço'!$C36,'Salários e Custos'!F:F)</f>
        <v>0</v>
      </c>
      <c r="E36" s="89"/>
      <c r="F36" s="139"/>
      <c r="G36" s="92">
        <f t="shared" si="6"/>
        <v>0</v>
      </c>
      <c r="H36" s="207"/>
      <c r="I36" s="89"/>
      <c r="J36" s="139"/>
      <c r="K36" s="92">
        <f t="shared" si="1"/>
        <v>0</v>
      </c>
      <c r="L36" s="207"/>
      <c r="M36" s="89"/>
      <c r="N36" s="139"/>
      <c r="O36" s="92">
        <f t="shared" si="2"/>
        <v>0</v>
      </c>
      <c r="P36" s="207"/>
    </row>
    <row r="37" spans="1:16" s="43" customFormat="1" ht="15.75" customHeight="1" x14ac:dyDescent="0.25">
      <c r="A37" s="221"/>
      <c r="B37" s="214"/>
      <c r="C37" s="138"/>
      <c r="D37" s="93">
        <f>SUMIF('Salários e Custos'!C:C,'Produto 2 - Cálculo Esforço'!$C37,'Salários e Custos'!F:F)</f>
        <v>0</v>
      </c>
      <c r="E37" s="89"/>
      <c r="F37" s="139"/>
      <c r="G37" s="92">
        <f t="shared" si="6"/>
        <v>0</v>
      </c>
      <c r="H37" s="207"/>
      <c r="I37" s="89"/>
      <c r="J37" s="139"/>
      <c r="K37" s="92">
        <f t="shared" si="1"/>
        <v>0</v>
      </c>
      <c r="L37" s="207"/>
      <c r="M37" s="89"/>
      <c r="N37" s="139"/>
      <c r="O37" s="92">
        <f t="shared" si="2"/>
        <v>0</v>
      </c>
      <c r="P37" s="207"/>
    </row>
    <row r="38" spans="1:16" s="43" customFormat="1" ht="15.75" customHeight="1" x14ac:dyDescent="0.25">
      <c r="A38" s="221"/>
      <c r="B38" s="212" t="s">
        <v>183</v>
      </c>
      <c r="C38" s="138" t="s">
        <v>17</v>
      </c>
      <c r="D38" s="93">
        <f>SUMIF('Salários e Custos'!C:C,'Produto 2 - Cálculo Esforço'!$C38,'Salários e Custos'!F:F)</f>
        <v>11347.68</v>
      </c>
      <c r="E38" s="89"/>
      <c r="F38" s="139">
        <v>5</v>
      </c>
      <c r="G38" s="92">
        <f t="shared" si="0"/>
        <v>2579.02</v>
      </c>
      <c r="H38" s="207">
        <f>SUM(G38:G41)</f>
        <v>2579.02</v>
      </c>
      <c r="I38" s="89"/>
      <c r="J38" s="138">
        <v>7</v>
      </c>
      <c r="K38" s="93">
        <f t="shared" si="1"/>
        <v>3610.63</v>
      </c>
      <c r="L38" s="207">
        <f>SUM(K38:K41)</f>
        <v>3610.63</v>
      </c>
      <c r="M38" s="89"/>
      <c r="N38" s="139">
        <v>3</v>
      </c>
      <c r="O38" s="92">
        <f t="shared" si="2"/>
        <v>1547.41</v>
      </c>
      <c r="P38" s="207">
        <f>SUM(O38:O41)</f>
        <v>1547.41</v>
      </c>
    </row>
    <row r="39" spans="1:16" s="43" customFormat="1" ht="15.75" customHeight="1" x14ac:dyDescent="0.25">
      <c r="A39" s="221"/>
      <c r="B39" s="213"/>
      <c r="C39" s="138"/>
      <c r="D39" s="93"/>
      <c r="E39" s="89"/>
      <c r="F39" s="139"/>
      <c r="G39" s="92">
        <f t="shared" si="0"/>
        <v>0</v>
      </c>
      <c r="H39" s="207"/>
      <c r="I39" s="89"/>
      <c r="J39" s="139"/>
      <c r="K39" s="92">
        <f t="shared" si="1"/>
        <v>0</v>
      </c>
      <c r="L39" s="207"/>
      <c r="M39" s="89"/>
      <c r="N39" s="139"/>
      <c r="O39" s="92">
        <f t="shared" si="2"/>
        <v>0</v>
      </c>
      <c r="P39" s="207"/>
    </row>
    <row r="40" spans="1:16" s="43" customFormat="1" ht="15.75" customHeight="1" x14ac:dyDescent="0.25">
      <c r="A40" s="221"/>
      <c r="B40" s="213"/>
      <c r="C40" s="138"/>
      <c r="D40" s="93"/>
      <c r="E40" s="89"/>
      <c r="F40" s="139"/>
      <c r="G40" s="92">
        <f t="shared" si="0"/>
        <v>0</v>
      </c>
      <c r="H40" s="207"/>
      <c r="I40" s="89"/>
      <c r="J40" s="139"/>
      <c r="K40" s="92">
        <f t="shared" si="1"/>
        <v>0</v>
      </c>
      <c r="L40" s="207"/>
      <c r="M40" s="89"/>
      <c r="N40" s="139"/>
      <c r="O40" s="92">
        <f t="shared" si="2"/>
        <v>0</v>
      </c>
      <c r="P40" s="207"/>
    </row>
    <row r="41" spans="1:16" s="43" customFormat="1" ht="15.75" customHeight="1" x14ac:dyDescent="0.25">
      <c r="A41" s="221"/>
      <c r="B41" s="214"/>
      <c r="C41" s="138"/>
      <c r="D41" s="93"/>
      <c r="E41" s="89"/>
      <c r="F41" s="139"/>
      <c r="G41" s="92">
        <f t="shared" si="0"/>
        <v>0</v>
      </c>
      <c r="H41" s="207"/>
      <c r="I41" s="89"/>
      <c r="J41" s="139"/>
      <c r="K41" s="92">
        <f t="shared" si="1"/>
        <v>0</v>
      </c>
      <c r="L41" s="207"/>
      <c r="M41" s="89"/>
      <c r="N41" s="139"/>
      <c r="O41" s="92">
        <f t="shared" si="2"/>
        <v>0</v>
      </c>
      <c r="P41" s="207"/>
    </row>
    <row r="42" spans="1:16" s="43" customFormat="1" ht="15.75" customHeight="1" x14ac:dyDescent="0.25">
      <c r="A42" s="221"/>
      <c r="B42" s="212" t="s">
        <v>112</v>
      </c>
      <c r="C42" s="138" t="s">
        <v>18</v>
      </c>
      <c r="D42" s="93">
        <f>SUMIF('Salários e Custos'!C:C,'Produto 2 - Cálculo Esforço'!$C42,'Salários e Custos'!F:F)</f>
        <v>9335.82</v>
      </c>
      <c r="E42" s="89"/>
      <c r="F42" s="139">
        <v>3</v>
      </c>
      <c r="G42" s="92">
        <f t="shared" si="0"/>
        <v>1273.07</v>
      </c>
      <c r="H42" s="207">
        <f>SUM(G42:G45)</f>
        <v>1273.07</v>
      </c>
      <c r="I42" s="89"/>
      <c r="J42" s="138">
        <v>3</v>
      </c>
      <c r="K42" s="93">
        <f t="shared" si="1"/>
        <v>1273.07</v>
      </c>
      <c r="L42" s="207">
        <f>SUM(K42:K45)</f>
        <v>1273.07</v>
      </c>
      <c r="M42" s="89"/>
      <c r="N42" s="139">
        <v>2</v>
      </c>
      <c r="O42" s="92">
        <f t="shared" si="2"/>
        <v>848.71</v>
      </c>
      <c r="P42" s="207">
        <f>SUM(O42:O45)</f>
        <v>848.71</v>
      </c>
    </row>
    <row r="43" spans="1:16" s="43" customFormat="1" ht="15.75" customHeight="1" x14ac:dyDescent="0.25">
      <c r="A43" s="221"/>
      <c r="B43" s="213"/>
      <c r="C43" s="138"/>
      <c r="D43" s="93"/>
      <c r="E43" s="89"/>
      <c r="F43" s="139">
        <v>3</v>
      </c>
      <c r="G43" s="92">
        <f t="shared" si="0"/>
        <v>0</v>
      </c>
      <c r="H43" s="207"/>
      <c r="I43" s="89"/>
      <c r="J43" s="139">
        <v>3</v>
      </c>
      <c r="K43" s="92">
        <f t="shared" si="1"/>
        <v>0</v>
      </c>
      <c r="L43" s="207"/>
      <c r="M43" s="89"/>
      <c r="N43" s="139">
        <v>3</v>
      </c>
      <c r="O43" s="92">
        <f t="shared" si="2"/>
        <v>0</v>
      </c>
      <c r="P43" s="207"/>
    </row>
    <row r="44" spans="1:16" s="43" customFormat="1" ht="15.75" customHeight="1" x14ac:dyDescent="0.25">
      <c r="A44" s="221"/>
      <c r="B44" s="213"/>
      <c r="C44" s="138"/>
      <c r="D44" s="93"/>
      <c r="E44" s="89"/>
      <c r="F44" s="139">
        <v>3</v>
      </c>
      <c r="G44" s="92">
        <f t="shared" si="0"/>
        <v>0</v>
      </c>
      <c r="H44" s="207"/>
      <c r="I44" s="89"/>
      <c r="J44" s="139">
        <v>3</v>
      </c>
      <c r="K44" s="92">
        <f t="shared" si="1"/>
        <v>0</v>
      </c>
      <c r="L44" s="207"/>
      <c r="M44" s="89"/>
      <c r="N44" s="139">
        <v>3</v>
      </c>
      <c r="O44" s="92">
        <f t="shared" si="2"/>
        <v>0</v>
      </c>
      <c r="P44" s="207"/>
    </row>
    <row r="45" spans="1:16" s="43" customFormat="1" ht="15.75" customHeight="1" x14ac:dyDescent="0.25">
      <c r="A45" s="221"/>
      <c r="B45" s="214"/>
      <c r="C45" s="138"/>
      <c r="D45" s="93"/>
      <c r="E45" s="89"/>
      <c r="F45" s="139">
        <v>3</v>
      </c>
      <c r="G45" s="92">
        <f t="shared" si="0"/>
        <v>0</v>
      </c>
      <c r="H45" s="207"/>
      <c r="I45" s="89"/>
      <c r="J45" s="139">
        <v>3</v>
      </c>
      <c r="K45" s="92">
        <f t="shared" si="1"/>
        <v>0</v>
      </c>
      <c r="L45" s="207"/>
      <c r="M45" s="89"/>
      <c r="N45" s="139">
        <v>3</v>
      </c>
      <c r="O45" s="92">
        <f t="shared" si="2"/>
        <v>0</v>
      </c>
      <c r="P45" s="207"/>
    </row>
    <row r="46" spans="1:16" s="43" customFormat="1" ht="15.75" customHeight="1" x14ac:dyDescent="0.25">
      <c r="A46" s="221"/>
      <c r="B46" s="212" t="s">
        <v>149</v>
      </c>
      <c r="C46" s="138" t="s">
        <v>17</v>
      </c>
      <c r="D46" s="93">
        <f>SUMIF('Salários e Custos'!C:C,'Produto 2 - Cálculo Esforço'!$C46,'Salários e Custos'!F:F)</f>
        <v>11347.68</v>
      </c>
      <c r="E46" s="89"/>
      <c r="F46" s="139">
        <v>2</v>
      </c>
      <c r="G46" s="92">
        <f t="shared" si="0"/>
        <v>1031.6099999999999</v>
      </c>
      <c r="H46" s="207">
        <f>SUM(G46:G49)</f>
        <v>1031.6099999999999</v>
      </c>
      <c r="I46" s="89"/>
      <c r="J46" s="138">
        <v>2</v>
      </c>
      <c r="K46" s="93">
        <f t="shared" si="1"/>
        <v>1031.6099999999999</v>
      </c>
      <c r="L46" s="207">
        <f>SUM(K46:K49)</f>
        <v>1031.6099999999999</v>
      </c>
      <c r="M46" s="89"/>
      <c r="N46" s="139">
        <v>2</v>
      </c>
      <c r="O46" s="92">
        <f t="shared" si="2"/>
        <v>1031.6099999999999</v>
      </c>
      <c r="P46" s="207">
        <f>SUM(O46:O49)</f>
        <v>1031.6099999999999</v>
      </c>
    </row>
    <row r="47" spans="1:16" s="43" customFormat="1" ht="15.75" customHeight="1" x14ac:dyDescent="0.25">
      <c r="A47" s="221"/>
      <c r="B47" s="213"/>
      <c r="C47" s="138"/>
      <c r="D47" s="93"/>
      <c r="E47" s="89"/>
      <c r="F47" s="139">
        <v>3</v>
      </c>
      <c r="G47" s="92">
        <f t="shared" si="0"/>
        <v>0</v>
      </c>
      <c r="H47" s="207"/>
      <c r="I47" s="89"/>
      <c r="J47" s="139">
        <v>3</v>
      </c>
      <c r="K47" s="92">
        <f t="shared" si="1"/>
        <v>0</v>
      </c>
      <c r="L47" s="207"/>
      <c r="M47" s="89"/>
      <c r="N47" s="139">
        <v>3</v>
      </c>
      <c r="O47" s="92">
        <f t="shared" si="2"/>
        <v>0</v>
      </c>
      <c r="P47" s="207"/>
    </row>
    <row r="48" spans="1:16" s="43" customFormat="1" ht="15.75" customHeight="1" x14ac:dyDescent="0.25">
      <c r="A48" s="221"/>
      <c r="B48" s="213"/>
      <c r="C48" s="138"/>
      <c r="D48" s="93"/>
      <c r="E48" s="89"/>
      <c r="F48" s="139">
        <v>3</v>
      </c>
      <c r="G48" s="92">
        <f t="shared" si="0"/>
        <v>0</v>
      </c>
      <c r="H48" s="207"/>
      <c r="I48" s="89"/>
      <c r="J48" s="139">
        <v>3</v>
      </c>
      <c r="K48" s="92">
        <f t="shared" si="1"/>
        <v>0</v>
      </c>
      <c r="L48" s="207"/>
      <c r="M48" s="89"/>
      <c r="N48" s="139">
        <v>3</v>
      </c>
      <c r="O48" s="92">
        <f t="shared" si="2"/>
        <v>0</v>
      </c>
      <c r="P48" s="207"/>
    </row>
    <row r="49" spans="1:16" s="43" customFormat="1" ht="15.75" customHeight="1" x14ac:dyDescent="0.25">
      <c r="A49" s="222"/>
      <c r="B49" s="214"/>
      <c r="C49" s="138"/>
      <c r="D49" s="93"/>
      <c r="E49" s="89"/>
      <c r="F49" s="139">
        <v>3</v>
      </c>
      <c r="G49" s="92">
        <f t="shared" si="0"/>
        <v>0</v>
      </c>
      <c r="H49" s="207"/>
      <c r="I49" s="89"/>
      <c r="J49" s="139">
        <v>3</v>
      </c>
      <c r="K49" s="92">
        <f t="shared" si="1"/>
        <v>0</v>
      </c>
      <c r="L49" s="207"/>
      <c r="M49" s="89"/>
      <c r="N49" s="139">
        <v>3</v>
      </c>
      <c r="O49" s="92">
        <f t="shared" si="2"/>
        <v>0</v>
      </c>
      <c r="P49" s="207"/>
    </row>
    <row r="50" spans="1:16" s="43" customFormat="1" x14ac:dyDescent="0.25">
      <c r="A50" s="211" t="s">
        <v>145</v>
      </c>
      <c r="B50" s="211"/>
      <c r="C50" s="138" t="s">
        <v>16</v>
      </c>
      <c r="D50" s="93">
        <f>SUMIF('Salários e Custos'!C:C,'Produto 2 - Cálculo Esforço'!$C50,'Salários e Custos'!F:F)</f>
        <v>14505.08</v>
      </c>
      <c r="E50" s="89"/>
      <c r="F50" s="139">
        <v>3</v>
      </c>
      <c r="G50" s="92">
        <f t="shared" si="0"/>
        <v>1977.97</v>
      </c>
      <c r="H50" s="207">
        <f>SUM(G50:G53)</f>
        <v>3996.7200000000003</v>
      </c>
      <c r="I50" s="89"/>
      <c r="J50" s="138">
        <v>3</v>
      </c>
      <c r="K50" s="93">
        <f t="shared" si="1"/>
        <v>1977.97</v>
      </c>
      <c r="L50" s="208">
        <f>SUM(K50:K53)</f>
        <v>3996.7200000000003</v>
      </c>
      <c r="M50" s="89"/>
      <c r="N50" s="139">
        <v>3</v>
      </c>
      <c r="O50" s="92">
        <f t="shared" si="2"/>
        <v>1977.97</v>
      </c>
      <c r="P50" s="207">
        <f>SUM(O50:O53)</f>
        <v>3996.7200000000003</v>
      </c>
    </row>
    <row r="51" spans="1:16" s="43" customFormat="1" x14ac:dyDescent="0.25">
      <c r="A51" s="211"/>
      <c r="B51" s="211"/>
      <c r="C51" s="138" t="s">
        <v>19</v>
      </c>
      <c r="D51" s="93">
        <f>SUMIF('Salários e Custos'!C:C,'Produto 2 - Cálculo Esforço'!$C51,'Salários e Custos'!F:F)</f>
        <v>8882.5</v>
      </c>
      <c r="E51" s="89"/>
      <c r="F51" s="139">
        <v>5</v>
      </c>
      <c r="G51" s="92">
        <f t="shared" ref="G51:G52" si="7">ROUND(+$D51*F51/$B$11,2)</f>
        <v>2018.75</v>
      </c>
      <c r="H51" s="207"/>
      <c r="I51" s="89"/>
      <c r="J51" s="139">
        <v>5</v>
      </c>
      <c r="K51" s="92">
        <f t="shared" si="1"/>
        <v>2018.75</v>
      </c>
      <c r="L51" s="208"/>
      <c r="M51" s="89"/>
      <c r="N51" s="139">
        <v>5</v>
      </c>
      <c r="O51" s="92">
        <f t="shared" si="2"/>
        <v>2018.75</v>
      </c>
      <c r="P51" s="207"/>
    </row>
    <row r="52" spans="1:16" s="43" customFormat="1" x14ac:dyDescent="0.25">
      <c r="A52" s="211"/>
      <c r="B52" s="211"/>
      <c r="C52" s="138"/>
      <c r="D52" s="93">
        <f>SUMIF('Salários e Custos'!C:C,'Produto 2 - Cálculo Esforço'!$C52,'Salários e Custos'!F:F)</f>
        <v>0</v>
      </c>
      <c r="E52" s="89"/>
      <c r="F52" s="139"/>
      <c r="G52" s="92">
        <f t="shared" si="7"/>
        <v>0</v>
      </c>
      <c r="H52" s="207"/>
      <c r="I52" s="89"/>
      <c r="J52" s="139"/>
      <c r="K52" s="92">
        <f t="shared" si="1"/>
        <v>0</v>
      </c>
      <c r="L52" s="208"/>
      <c r="M52" s="89"/>
      <c r="N52" s="139"/>
      <c r="O52" s="92">
        <f t="shared" si="2"/>
        <v>0</v>
      </c>
      <c r="P52" s="207"/>
    </row>
    <row r="53" spans="1:16" s="43" customFormat="1" x14ac:dyDescent="0.25">
      <c r="A53" s="211"/>
      <c r="B53" s="211"/>
      <c r="C53" s="138"/>
      <c r="D53" s="93">
        <f>SUMIF('Salários e Custos'!C:C,'Produto 2 - Cálculo Esforço'!$C53,'Salários e Custos'!F:F)</f>
        <v>0</v>
      </c>
      <c r="E53" s="89"/>
      <c r="F53" s="139"/>
      <c r="G53" s="92">
        <f t="shared" si="0"/>
        <v>0</v>
      </c>
      <c r="H53" s="207"/>
      <c r="I53" s="89"/>
      <c r="J53" s="138"/>
      <c r="K53" s="93">
        <f t="shared" si="1"/>
        <v>0</v>
      </c>
      <c r="L53" s="208"/>
      <c r="M53" s="89"/>
      <c r="N53" s="139"/>
      <c r="O53" s="92">
        <f t="shared" si="2"/>
        <v>0</v>
      </c>
      <c r="P53" s="207"/>
    </row>
    <row r="54" spans="1:16" s="43" customFormat="1" ht="15" customHeight="1" x14ac:dyDescent="0.25">
      <c r="A54" s="215" t="s">
        <v>156</v>
      </c>
      <c r="B54" s="215" t="s">
        <v>104</v>
      </c>
      <c r="C54" s="138" t="s">
        <v>16</v>
      </c>
      <c r="D54" s="93">
        <f>SUMIF('Salários e Custos'!C:C,'Produto 2 - Cálculo Esforço'!$C54,'Salários e Custos'!F:F)</f>
        <v>14505.08</v>
      </c>
      <c r="E54" s="89"/>
      <c r="F54" s="139">
        <v>1</v>
      </c>
      <c r="G54" s="92">
        <f t="shared" si="0"/>
        <v>659.32</v>
      </c>
      <c r="H54" s="207">
        <f>SUM(G54:G57)</f>
        <v>8097.2199999999993</v>
      </c>
      <c r="I54" s="89"/>
      <c r="J54" s="138">
        <v>3</v>
      </c>
      <c r="K54" s="93">
        <f t="shared" si="1"/>
        <v>1977.97</v>
      </c>
      <c r="L54" s="208">
        <f>SUM(K54:K57)</f>
        <v>9415.8700000000008</v>
      </c>
      <c r="M54" s="89"/>
      <c r="N54" s="139">
        <v>3</v>
      </c>
      <c r="O54" s="92">
        <f t="shared" si="2"/>
        <v>1977.97</v>
      </c>
      <c r="P54" s="207">
        <f>SUM(O54:O57)</f>
        <v>9415.8700000000008</v>
      </c>
    </row>
    <row r="55" spans="1:16" s="43" customFormat="1" ht="15" customHeight="1" x14ac:dyDescent="0.25">
      <c r="A55" s="215"/>
      <c r="B55" s="215"/>
      <c r="C55" s="138" t="s">
        <v>17</v>
      </c>
      <c r="D55" s="93">
        <f>SUMIF('Salários e Custos'!C:C,'Produto 2 - Cálculo Esforço'!$C55,'Salários e Custos'!F:F)</f>
        <v>11347.68</v>
      </c>
      <c r="E55" s="89"/>
      <c r="F55" s="139">
        <v>10</v>
      </c>
      <c r="G55" s="92">
        <f t="shared" si="0"/>
        <v>5158.04</v>
      </c>
      <c r="H55" s="207"/>
      <c r="I55" s="89"/>
      <c r="J55" s="138">
        <v>10</v>
      </c>
      <c r="K55" s="93">
        <f t="shared" si="1"/>
        <v>5158.04</v>
      </c>
      <c r="L55" s="208"/>
      <c r="M55" s="89"/>
      <c r="N55" s="139">
        <v>10</v>
      </c>
      <c r="O55" s="92">
        <f t="shared" si="2"/>
        <v>5158.04</v>
      </c>
      <c r="P55" s="207"/>
    </row>
    <row r="56" spans="1:16" s="43" customFormat="1" ht="15" customHeight="1" x14ac:dyDescent="0.25">
      <c r="A56" s="215"/>
      <c r="B56" s="215"/>
      <c r="C56" s="138" t="s">
        <v>26</v>
      </c>
      <c r="D56" s="93">
        <f>SUMIF('Salários e Custos'!C:C,'Produto 2 - Cálculo Esforço'!$C56,'Salários e Custos'!F:F)</f>
        <v>5015.7</v>
      </c>
      <c r="E56" s="89"/>
      <c r="F56" s="139">
        <v>10</v>
      </c>
      <c r="G56" s="92">
        <f t="shared" si="0"/>
        <v>2279.86</v>
      </c>
      <c r="H56" s="207"/>
      <c r="I56" s="89"/>
      <c r="J56" s="139">
        <v>10</v>
      </c>
      <c r="K56" s="92">
        <f t="shared" si="1"/>
        <v>2279.86</v>
      </c>
      <c r="L56" s="208"/>
      <c r="M56" s="89"/>
      <c r="N56" s="139">
        <v>10</v>
      </c>
      <c r="O56" s="92">
        <f t="shared" si="2"/>
        <v>2279.86</v>
      </c>
      <c r="P56" s="207"/>
    </row>
    <row r="57" spans="1:16" s="43" customFormat="1" ht="15" customHeight="1" x14ac:dyDescent="0.25">
      <c r="A57" s="215"/>
      <c r="B57" s="215"/>
      <c r="C57" s="138"/>
      <c r="D57" s="93">
        <f>SUMIF('Salários e Custos'!C:C,'Produto 2 - Cálculo Esforço'!$C57,'Salários e Custos'!F:F)</f>
        <v>0</v>
      </c>
      <c r="E57" s="89"/>
      <c r="F57" s="139"/>
      <c r="G57" s="92">
        <f t="shared" si="0"/>
        <v>0</v>
      </c>
      <c r="H57" s="207"/>
      <c r="I57" s="89"/>
      <c r="J57" s="138"/>
      <c r="K57" s="93">
        <f t="shared" si="1"/>
        <v>0</v>
      </c>
      <c r="L57" s="208"/>
      <c r="M57" s="89"/>
      <c r="N57" s="139"/>
      <c r="O57" s="92">
        <f t="shared" si="2"/>
        <v>0</v>
      </c>
      <c r="P57" s="207"/>
    </row>
    <row r="58" spans="1:16" s="43" customFormat="1" ht="15" customHeight="1" x14ac:dyDescent="0.25">
      <c r="A58" s="215"/>
      <c r="B58" s="215" t="s">
        <v>105</v>
      </c>
      <c r="C58" s="138" t="s">
        <v>16</v>
      </c>
      <c r="D58" s="93">
        <f>SUMIF('Salários e Custos'!C:C,'Produto 2 - Cálculo Esforço'!$C58,'Salários e Custos'!F:F)</f>
        <v>14505.08</v>
      </c>
      <c r="E58" s="89"/>
      <c r="F58" s="139">
        <v>0</v>
      </c>
      <c r="G58" s="92">
        <f t="shared" si="0"/>
        <v>0</v>
      </c>
      <c r="H58" s="207">
        <f>SUM(G58:G61)</f>
        <v>2171.54</v>
      </c>
      <c r="I58" s="89"/>
      <c r="J58" s="138">
        <v>1</v>
      </c>
      <c r="K58" s="93">
        <f t="shared" si="1"/>
        <v>659.32</v>
      </c>
      <c r="L58" s="208">
        <f>SUM(K58:K61)</f>
        <v>3802.63</v>
      </c>
      <c r="M58" s="89"/>
      <c r="N58" s="139">
        <v>1</v>
      </c>
      <c r="O58" s="92">
        <f t="shared" si="2"/>
        <v>659.32</v>
      </c>
      <c r="P58" s="207">
        <f>SUM(O58:O61)</f>
        <v>4486.59</v>
      </c>
    </row>
    <row r="59" spans="1:16" s="43" customFormat="1" ht="15" customHeight="1" x14ac:dyDescent="0.25">
      <c r="A59" s="215"/>
      <c r="B59" s="215"/>
      <c r="C59" s="138" t="s">
        <v>17</v>
      </c>
      <c r="D59" s="93">
        <f>SUMIF('Salários e Custos'!C:C,'Produto 2 - Cálculo Esforço'!$C59,'Salários e Custos'!F:F)</f>
        <v>11347.68</v>
      </c>
      <c r="E59" s="89"/>
      <c r="F59" s="139">
        <v>2</v>
      </c>
      <c r="G59" s="92">
        <f t="shared" si="0"/>
        <v>1031.6099999999999</v>
      </c>
      <c r="H59" s="207"/>
      <c r="I59" s="89"/>
      <c r="J59" s="139">
        <v>3</v>
      </c>
      <c r="K59" s="92">
        <f t="shared" si="1"/>
        <v>1547.41</v>
      </c>
      <c r="L59" s="208"/>
      <c r="M59" s="89"/>
      <c r="N59" s="139">
        <v>3</v>
      </c>
      <c r="O59" s="92">
        <f t="shared" si="2"/>
        <v>1547.41</v>
      </c>
      <c r="P59" s="207"/>
    </row>
    <row r="60" spans="1:16" s="43" customFormat="1" ht="15" customHeight="1" x14ac:dyDescent="0.25">
      <c r="A60" s="215"/>
      <c r="B60" s="215"/>
      <c r="C60" s="138" t="s">
        <v>26</v>
      </c>
      <c r="D60" s="93">
        <f>SUMIF('Salários e Custos'!C:C,'Produto 2 - Cálculo Esforço'!$C60,'Salários e Custos'!F:F)</f>
        <v>5015.7</v>
      </c>
      <c r="E60" s="89"/>
      <c r="F60" s="139">
        <v>5</v>
      </c>
      <c r="G60" s="92">
        <f t="shared" si="0"/>
        <v>1139.93</v>
      </c>
      <c r="H60" s="207"/>
      <c r="I60" s="89"/>
      <c r="J60" s="138">
        <v>7</v>
      </c>
      <c r="K60" s="93">
        <f t="shared" si="1"/>
        <v>1595.9</v>
      </c>
      <c r="L60" s="208"/>
      <c r="M60" s="89"/>
      <c r="N60" s="139">
        <v>10</v>
      </c>
      <c r="O60" s="92">
        <f t="shared" si="2"/>
        <v>2279.86</v>
      </c>
      <c r="P60" s="207"/>
    </row>
    <row r="61" spans="1:16" s="43" customFormat="1" ht="15" customHeight="1" x14ac:dyDescent="0.25">
      <c r="A61" s="215"/>
      <c r="B61" s="215"/>
      <c r="C61" s="138"/>
      <c r="D61" s="93">
        <f>SUMIF('Salários e Custos'!C:C,'Produto 2 - Cálculo Esforço'!$C61,'Salários e Custos'!F:F)</f>
        <v>0</v>
      </c>
      <c r="E61" s="89"/>
      <c r="F61" s="139"/>
      <c r="G61" s="92">
        <f t="shared" si="0"/>
        <v>0</v>
      </c>
      <c r="H61" s="207"/>
      <c r="I61" s="89"/>
      <c r="J61" s="138"/>
      <c r="K61" s="93">
        <f t="shared" si="1"/>
        <v>0</v>
      </c>
      <c r="L61" s="208"/>
      <c r="M61" s="89"/>
      <c r="N61" s="139"/>
      <c r="O61" s="92">
        <f t="shared" si="2"/>
        <v>0</v>
      </c>
      <c r="P61" s="207"/>
    </row>
    <row r="62" spans="1:16" s="43" customFormat="1" ht="15" customHeight="1" x14ac:dyDescent="0.25">
      <c r="A62" s="215"/>
      <c r="B62" s="215" t="s">
        <v>107</v>
      </c>
      <c r="C62" s="138" t="s">
        <v>16</v>
      </c>
      <c r="D62" s="93">
        <f>SUMIF('Salários e Custos'!C:C,'Produto 2 - Cálculo Esforço'!$C62,'Salários e Custos'!F:F)</f>
        <v>14505.08</v>
      </c>
      <c r="E62" s="89"/>
      <c r="F62" s="139">
        <v>2</v>
      </c>
      <c r="G62" s="92">
        <f t="shared" si="0"/>
        <v>1318.64</v>
      </c>
      <c r="H62" s="207">
        <f>SUM(G62:G65)</f>
        <v>6525.17</v>
      </c>
      <c r="I62" s="91"/>
      <c r="J62" s="138">
        <v>2</v>
      </c>
      <c r="K62" s="93">
        <f t="shared" si="1"/>
        <v>1318.64</v>
      </c>
      <c r="L62" s="208">
        <f>SUM(K62:K65)</f>
        <v>6525.17</v>
      </c>
      <c r="M62" s="91"/>
      <c r="N62" s="139">
        <v>1</v>
      </c>
      <c r="O62" s="92">
        <f t="shared" si="2"/>
        <v>659.32</v>
      </c>
      <c r="P62" s="207">
        <f>SUM(O62:O65)</f>
        <v>4378.2700000000004</v>
      </c>
    </row>
    <row r="63" spans="1:16" s="43" customFormat="1" ht="15" customHeight="1" x14ac:dyDescent="0.25">
      <c r="A63" s="215"/>
      <c r="B63" s="215"/>
      <c r="C63" s="138" t="s">
        <v>17</v>
      </c>
      <c r="D63" s="93">
        <f>SUMIF('Salários e Custos'!C:C,'Produto 2 - Cálculo Esforço'!$C63,'Salários e Custos'!F:F)</f>
        <v>11347.68</v>
      </c>
      <c r="E63" s="89"/>
      <c r="F63" s="139">
        <v>7</v>
      </c>
      <c r="G63" s="92">
        <f t="shared" si="0"/>
        <v>3610.63</v>
      </c>
      <c r="H63" s="207"/>
      <c r="I63" s="91"/>
      <c r="J63" s="138">
        <v>7</v>
      </c>
      <c r="K63" s="93">
        <f t="shared" si="1"/>
        <v>3610.63</v>
      </c>
      <c r="L63" s="208"/>
      <c r="M63" s="91"/>
      <c r="N63" s="139">
        <v>5</v>
      </c>
      <c r="O63" s="92">
        <f t="shared" si="2"/>
        <v>2579.02</v>
      </c>
      <c r="P63" s="207"/>
    </row>
    <row r="64" spans="1:16" s="43" customFormat="1" ht="15" customHeight="1" x14ac:dyDescent="0.25">
      <c r="A64" s="215"/>
      <c r="B64" s="215"/>
      <c r="C64" s="138" t="s">
        <v>26</v>
      </c>
      <c r="D64" s="93">
        <f>SUMIF('Salários e Custos'!C:C,'Produto 2 - Cálculo Esforço'!$C64,'Salários e Custos'!F:F)</f>
        <v>5015.7</v>
      </c>
      <c r="E64" s="89"/>
      <c r="F64" s="139">
        <v>7</v>
      </c>
      <c r="G64" s="92">
        <f t="shared" si="0"/>
        <v>1595.9</v>
      </c>
      <c r="H64" s="207"/>
      <c r="I64" s="91"/>
      <c r="J64" s="139">
        <v>7</v>
      </c>
      <c r="K64" s="92">
        <f t="shared" si="1"/>
        <v>1595.9</v>
      </c>
      <c r="L64" s="208"/>
      <c r="M64" s="91"/>
      <c r="N64" s="139">
        <v>5</v>
      </c>
      <c r="O64" s="92">
        <f t="shared" si="2"/>
        <v>1139.93</v>
      </c>
      <c r="P64" s="207"/>
    </row>
    <row r="65" spans="1:16" s="43" customFormat="1" ht="15" customHeight="1" thickBot="1" x14ac:dyDescent="0.3">
      <c r="A65" s="215"/>
      <c r="B65" s="215"/>
      <c r="C65" s="138"/>
      <c r="D65" s="93">
        <f>SUMIF('Salários e Custos'!C:C,'Produto 2 - Cálculo Esforço'!$C65,'Salários e Custos'!F:F)</f>
        <v>0</v>
      </c>
      <c r="E65" s="89"/>
      <c r="F65" s="139"/>
      <c r="G65" s="92">
        <f t="shared" si="0"/>
        <v>0</v>
      </c>
      <c r="H65" s="207"/>
      <c r="I65" s="90"/>
      <c r="J65" s="138"/>
      <c r="K65" s="93">
        <f t="shared" si="1"/>
        <v>0</v>
      </c>
      <c r="L65" s="208"/>
      <c r="M65" s="90"/>
      <c r="N65" s="139"/>
      <c r="O65" s="92">
        <f t="shared" si="2"/>
        <v>0</v>
      </c>
      <c r="P65" s="207"/>
    </row>
    <row r="66" spans="1:16" s="43" customFormat="1" ht="15" customHeight="1" x14ac:dyDescent="0.25">
      <c r="A66" s="215"/>
      <c r="B66" s="215" t="s">
        <v>106</v>
      </c>
      <c r="C66" s="138" t="s">
        <v>17</v>
      </c>
      <c r="D66" s="93">
        <f>SUMIF('Salários e Custos'!C:C,'Produto 2 - Cálculo Esforço'!$C66,'Salários e Custos'!F:F)</f>
        <v>11347.68</v>
      </c>
      <c r="E66" s="89"/>
      <c r="F66" s="139">
        <v>7</v>
      </c>
      <c r="G66" s="92">
        <f t="shared" si="0"/>
        <v>3610.63</v>
      </c>
      <c r="H66" s="207">
        <f>SUM(G66:G69)</f>
        <v>5890.49</v>
      </c>
      <c r="I66" s="89"/>
      <c r="J66" s="138">
        <v>7</v>
      </c>
      <c r="K66" s="93">
        <f t="shared" si="1"/>
        <v>3610.63</v>
      </c>
      <c r="L66" s="208">
        <f>SUM(K66:K69)</f>
        <v>5890.49</v>
      </c>
      <c r="M66" s="89"/>
      <c r="N66" s="139">
        <v>7</v>
      </c>
      <c r="O66" s="92">
        <f t="shared" si="2"/>
        <v>3610.63</v>
      </c>
      <c r="P66" s="207">
        <f>SUM(O66:O69)</f>
        <v>5890.49</v>
      </c>
    </row>
    <row r="67" spans="1:16" s="43" customFormat="1" ht="15" customHeight="1" x14ac:dyDescent="0.25">
      <c r="A67" s="215"/>
      <c r="B67" s="215"/>
      <c r="C67" s="138" t="s">
        <v>26</v>
      </c>
      <c r="D67" s="93">
        <f>SUMIF('Salários e Custos'!C:C,'Produto 2 - Cálculo Esforço'!$C67,'Salários e Custos'!F:F)</f>
        <v>5015.7</v>
      </c>
      <c r="E67" s="89"/>
      <c r="F67" s="139">
        <v>10</v>
      </c>
      <c r="G67" s="92">
        <f t="shared" si="0"/>
        <v>2279.86</v>
      </c>
      <c r="H67" s="207"/>
      <c r="I67" s="89"/>
      <c r="J67" s="139">
        <v>10</v>
      </c>
      <c r="K67" s="92">
        <f t="shared" si="1"/>
        <v>2279.86</v>
      </c>
      <c r="L67" s="208"/>
      <c r="M67" s="89"/>
      <c r="N67" s="139">
        <v>10</v>
      </c>
      <c r="O67" s="92">
        <f t="shared" si="2"/>
        <v>2279.86</v>
      </c>
      <c r="P67" s="207"/>
    </row>
    <row r="68" spans="1:16" s="43" customFormat="1" ht="15" customHeight="1" x14ac:dyDescent="0.25">
      <c r="A68" s="215"/>
      <c r="B68" s="215"/>
      <c r="C68" s="138"/>
      <c r="D68" s="93">
        <f>SUMIF('Salários e Custos'!C:C,'Produto 2 - Cálculo Esforço'!$C68,'Salários e Custos'!F:F)</f>
        <v>0</v>
      </c>
      <c r="E68" s="89"/>
      <c r="F68" s="139"/>
      <c r="G68" s="92">
        <f t="shared" si="0"/>
        <v>0</v>
      </c>
      <c r="H68" s="207"/>
      <c r="I68" s="89"/>
      <c r="J68" s="139"/>
      <c r="K68" s="92">
        <f t="shared" si="1"/>
        <v>0</v>
      </c>
      <c r="L68" s="208"/>
      <c r="M68" s="89"/>
      <c r="N68" s="139"/>
      <c r="O68" s="92">
        <f t="shared" si="2"/>
        <v>0</v>
      </c>
      <c r="P68" s="207"/>
    </row>
    <row r="69" spans="1:16" s="43" customFormat="1" ht="15" customHeight="1" x14ac:dyDescent="0.25">
      <c r="A69" s="215"/>
      <c r="B69" s="215"/>
      <c r="C69" s="138"/>
      <c r="D69" s="93">
        <f>SUMIF('Salários e Custos'!C:C,'Produto 2 - Cálculo Esforço'!$C69,'Salários e Custos'!F:F)</f>
        <v>0</v>
      </c>
      <c r="E69" s="89"/>
      <c r="F69" s="139"/>
      <c r="G69" s="92">
        <f t="shared" si="0"/>
        <v>0</v>
      </c>
      <c r="H69" s="207"/>
      <c r="I69" s="89"/>
      <c r="J69" s="138"/>
      <c r="K69" s="93">
        <f t="shared" si="1"/>
        <v>0</v>
      </c>
      <c r="L69" s="208"/>
      <c r="M69" s="89"/>
      <c r="N69" s="139"/>
      <c r="O69" s="92">
        <f t="shared" si="2"/>
        <v>0</v>
      </c>
      <c r="P69" s="207"/>
    </row>
    <row r="70" spans="1:16" s="43" customFormat="1" ht="15" customHeight="1" x14ac:dyDescent="0.25">
      <c r="A70" s="215"/>
      <c r="B70" s="215" t="s">
        <v>108</v>
      </c>
      <c r="C70" s="138" t="s">
        <v>18</v>
      </c>
      <c r="D70" s="93">
        <f>SUMIF('Salários e Custos'!C:C,'Produto 2 - Cálculo Esforço'!$C70,'Salários e Custos'!F:F)</f>
        <v>9335.82</v>
      </c>
      <c r="E70" s="89"/>
      <c r="F70" s="139">
        <v>5</v>
      </c>
      <c r="G70" s="92">
        <f t="shared" si="0"/>
        <v>2121.7800000000002</v>
      </c>
      <c r="H70" s="207">
        <f>SUM(G70:G73)</f>
        <v>3261.71</v>
      </c>
      <c r="I70" s="89"/>
      <c r="J70" s="138">
        <v>7</v>
      </c>
      <c r="K70" s="93">
        <f t="shared" si="1"/>
        <v>2970.49</v>
      </c>
      <c r="L70" s="208">
        <f>SUM(K70:K73)</f>
        <v>4566.3899999999994</v>
      </c>
      <c r="M70" s="89"/>
      <c r="N70" s="139">
        <v>5</v>
      </c>
      <c r="O70" s="92">
        <f t="shared" si="2"/>
        <v>2121.7800000000002</v>
      </c>
      <c r="P70" s="207">
        <f>SUM(O70:O73)</f>
        <v>3261.71</v>
      </c>
    </row>
    <row r="71" spans="1:16" s="43" customFormat="1" ht="15" customHeight="1" x14ac:dyDescent="0.25">
      <c r="A71" s="215"/>
      <c r="B71" s="215"/>
      <c r="C71" s="138" t="s">
        <v>26</v>
      </c>
      <c r="D71" s="93">
        <f>SUMIF('Salários e Custos'!C:C,'Produto 2 - Cálculo Esforço'!$C71,'Salários e Custos'!F:F)</f>
        <v>5015.7</v>
      </c>
      <c r="E71" s="89"/>
      <c r="F71" s="139">
        <v>5</v>
      </c>
      <c r="G71" s="92">
        <f t="shared" si="0"/>
        <v>1139.93</v>
      </c>
      <c r="H71" s="207"/>
      <c r="I71" s="89"/>
      <c r="J71" s="139">
        <v>7</v>
      </c>
      <c r="K71" s="92">
        <f t="shared" si="1"/>
        <v>1595.9</v>
      </c>
      <c r="L71" s="208"/>
      <c r="M71" s="89"/>
      <c r="N71" s="139">
        <v>5</v>
      </c>
      <c r="O71" s="92">
        <f t="shared" si="2"/>
        <v>1139.93</v>
      </c>
      <c r="P71" s="207"/>
    </row>
    <row r="72" spans="1:16" s="43" customFormat="1" ht="15" customHeight="1" x14ac:dyDescent="0.25">
      <c r="A72" s="215"/>
      <c r="B72" s="215"/>
      <c r="C72" s="138"/>
      <c r="D72" s="93">
        <f>SUMIF('Salários e Custos'!C:C,'Produto 2 - Cálculo Esforço'!$C72,'Salários e Custos'!F:F)</f>
        <v>0</v>
      </c>
      <c r="E72" s="89"/>
      <c r="F72" s="139"/>
      <c r="G72" s="92">
        <f t="shared" si="0"/>
        <v>0</v>
      </c>
      <c r="H72" s="207"/>
      <c r="I72" s="89"/>
      <c r="J72" s="139"/>
      <c r="K72" s="92">
        <f t="shared" si="1"/>
        <v>0</v>
      </c>
      <c r="L72" s="208"/>
      <c r="M72" s="89"/>
      <c r="N72" s="139"/>
      <c r="O72" s="92">
        <f t="shared" si="2"/>
        <v>0</v>
      </c>
      <c r="P72" s="207"/>
    </row>
    <row r="73" spans="1:16" s="43" customFormat="1" ht="15" customHeight="1" x14ac:dyDescent="0.25">
      <c r="A73" s="215"/>
      <c r="B73" s="215"/>
      <c r="C73" s="138"/>
      <c r="D73" s="93">
        <f>SUMIF('Salários e Custos'!C:C,'Produto 2 - Cálculo Esforço'!$C73,'Salários e Custos'!F:F)</f>
        <v>0</v>
      </c>
      <c r="E73" s="89"/>
      <c r="F73" s="139"/>
      <c r="G73" s="92">
        <f t="shared" si="0"/>
        <v>0</v>
      </c>
      <c r="H73" s="207"/>
      <c r="I73" s="89"/>
      <c r="J73" s="138"/>
      <c r="K73" s="93">
        <f t="shared" si="1"/>
        <v>0</v>
      </c>
      <c r="L73" s="208"/>
      <c r="M73" s="89"/>
      <c r="N73" s="139"/>
      <c r="O73" s="92">
        <f t="shared" si="2"/>
        <v>0</v>
      </c>
      <c r="P73" s="207"/>
    </row>
    <row r="74" spans="1:16" s="43" customFormat="1" ht="15" customHeight="1" x14ac:dyDescent="0.25">
      <c r="A74" s="215"/>
      <c r="B74" s="215" t="s">
        <v>150</v>
      </c>
      <c r="C74" s="138" t="s">
        <v>18</v>
      </c>
      <c r="D74" s="93">
        <f>SUMIF('Salários e Custos'!C:C,'Produto 2 - Cálculo Esforço'!$C74,'Salários e Custos'!F:F)</f>
        <v>9335.82</v>
      </c>
      <c r="E74" s="89"/>
      <c r="F74" s="139">
        <v>5</v>
      </c>
      <c r="G74" s="92">
        <f t="shared" si="0"/>
        <v>2121.7800000000002</v>
      </c>
      <c r="H74" s="207">
        <f>SUM(G74:G77)</f>
        <v>3261.71</v>
      </c>
      <c r="I74" s="89"/>
      <c r="J74" s="138">
        <v>7</v>
      </c>
      <c r="K74" s="93">
        <f t="shared" si="1"/>
        <v>2970.49</v>
      </c>
      <c r="L74" s="208">
        <f>SUM(K74:K77)</f>
        <v>4566.3899999999994</v>
      </c>
      <c r="M74" s="89"/>
      <c r="N74" s="139">
        <v>3</v>
      </c>
      <c r="O74" s="92">
        <f t="shared" si="2"/>
        <v>1273.07</v>
      </c>
      <c r="P74" s="207">
        <f>SUM(O74:O77)</f>
        <v>1957.03</v>
      </c>
    </row>
    <row r="75" spans="1:16" s="43" customFormat="1" ht="15" customHeight="1" x14ac:dyDescent="0.25">
      <c r="A75" s="215"/>
      <c r="B75" s="215"/>
      <c r="C75" s="138" t="s">
        <v>26</v>
      </c>
      <c r="D75" s="93">
        <f>SUMIF('Salários e Custos'!C:C,'Produto 2 - Cálculo Esforço'!$C75,'Salários e Custos'!F:F)</f>
        <v>5015.7</v>
      </c>
      <c r="E75" s="89"/>
      <c r="F75" s="139">
        <v>5</v>
      </c>
      <c r="G75" s="92">
        <f t="shared" si="0"/>
        <v>1139.93</v>
      </c>
      <c r="H75" s="207"/>
      <c r="I75" s="89"/>
      <c r="J75" s="139">
        <v>7</v>
      </c>
      <c r="K75" s="92">
        <f t="shared" si="1"/>
        <v>1595.9</v>
      </c>
      <c r="L75" s="208"/>
      <c r="M75" s="89"/>
      <c r="N75" s="139">
        <v>3</v>
      </c>
      <c r="O75" s="92">
        <f t="shared" si="2"/>
        <v>683.96</v>
      </c>
      <c r="P75" s="207"/>
    </row>
    <row r="76" spans="1:16" s="43" customFormat="1" ht="15" customHeight="1" x14ac:dyDescent="0.25">
      <c r="A76" s="215"/>
      <c r="B76" s="215"/>
      <c r="C76" s="138"/>
      <c r="D76" s="93"/>
      <c r="E76" s="89"/>
      <c r="F76" s="139"/>
      <c r="G76" s="92">
        <f t="shared" si="0"/>
        <v>0</v>
      </c>
      <c r="H76" s="207"/>
      <c r="I76" s="89"/>
      <c r="J76" s="139"/>
      <c r="K76" s="92">
        <f t="shared" si="1"/>
        <v>0</v>
      </c>
      <c r="L76" s="208"/>
      <c r="M76" s="89"/>
      <c r="N76" s="139"/>
      <c r="O76" s="92">
        <f t="shared" si="2"/>
        <v>0</v>
      </c>
      <c r="P76" s="207"/>
    </row>
    <row r="77" spans="1:16" s="43" customFormat="1" ht="15" customHeight="1" x14ac:dyDescent="0.25">
      <c r="A77" s="215"/>
      <c r="B77" s="215"/>
      <c r="C77" s="138"/>
      <c r="D77" s="93">
        <f>SUMIF('Salários e Custos'!C:C,'Produto 2 - Cálculo Esforço'!$C77,'Salários e Custos'!F:F)</f>
        <v>0</v>
      </c>
      <c r="E77" s="89"/>
      <c r="F77" s="139"/>
      <c r="G77" s="92">
        <f t="shared" si="0"/>
        <v>0</v>
      </c>
      <c r="H77" s="207"/>
      <c r="I77" s="89"/>
      <c r="J77" s="138"/>
      <c r="K77" s="93">
        <f t="shared" si="1"/>
        <v>0</v>
      </c>
      <c r="L77" s="208"/>
      <c r="M77" s="89"/>
      <c r="N77" s="139"/>
      <c r="O77" s="92">
        <f t="shared" si="2"/>
        <v>0</v>
      </c>
      <c r="P77" s="207"/>
    </row>
    <row r="78" spans="1:16" s="43" customFormat="1" ht="15" customHeight="1" x14ac:dyDescent="0.25">
      <c r="A78" s="215"/>
      <c r="B78" s="215" t="s">
        <v>182</v>
      </c>
      <c r="C78" s="138" t="s">
        <v>18</v>
      </c>
      <c r="D78" s="93">
        <f>SUMIF('Salários e Custos'!C:C,'Produto 2 - Cálculo Esforço'!$C78,'Salários e Custos'!F:F)</f>
        <v>9335.82</v>
      </c>
      <c r="E78" s="89"/>
      <c r="F78" s="139">
        <v>4</v>
      </c>
      <c r="G78" s="92">
        <f t="shared" si="0"/>
        <v>1697.42</v>
      </c>
      <c r="H78" s="207">
        <f>SUM(G78:G81)</f>
        <v>2609.37</v>
      </c>
      <c r="I78" s="89"/>
      <c r="J78" s="138">
        <v>5</v>
      </c>
      <c r="K78" s="93">
        <f t="shared" si="1"/>
        <v>2121.7800000000002</v>
      </c>
      <c r="L78" s="208">
        <f>SUM(K78:K81)</f>
        <v>3261.71</v>
      </c>
      <c r="M78" s="89"/>
      <c r="N78" s="139">
        <v>3</v>
      </c>
      <c r="O78" s="92">
        <f t="shared" si="2"/>
        <v>1273.07</v>
      </c>
      <c r="P78" s="207">
        <f>SUM(O78:O81)</f>
        <v>1957.03</v>
      </c>
    </row>
    <row r="79" spans="1:16" s="43" customFormat="1" ht="15" customHeight="1" x14ac:dyDescent="0.25">
      <c r="A79" s="215"/>
      <c r="B79" s="215"/>
      <c r="C79" s="138" t="s">
        <v>26</v>
      </c>
      <c r="D79" s="93">
        <f>SUMIF('Salários e Custos'!C:C,'Produto 2 - Cálculo Esforço'!$C79,'Salários e Custos'!F:F)</f>
        <v>5015.7</v>
      </c>
      <c r="E79" s="89"/>
      <c r="F79" s="139">
        <v>4</v>
      </c>
      <c r="G79" s="92">
        <f t="shared" si="0"/>
        <v>911.95</v>
      </c>
      <c r="H79" s="207"/>
      <c r="I79" s="89"/>
      <c r="J79" s="139">
        <v>5</v>
      </c>
      <c r="K79" s="92">
        <f t="shared" si="1"/>
        <v>1139.93</v>
      </c>
      <c r="L79" s="208"/>
      <c r="M79" s="89"/>
      <c r="N79" s="139">
        <v>3</v>
      </c>
      <c r="O79" s="92">
        <f t="shared" si="2"/>
        <v>683.96</v>
      </c>
      <c r="P79" s="207"/>
    </row>
    <row r="80" spans="1:16" s="43" customFormat="1" ht="15" customHeight="1" x14ac:dyDescent="0.25">
      <c r="A80" s="215"/>
      <c r="B80" s="215"/>
      <c r="C80" s="138"/>
      <c r="D80" s="93">
        <f>SUMIF('Salários e Custos'!C:C,'Produto 2 - Cálculo Esforço'!$C80,'Salários e Custos'!F:F)</f>
        <v>0</v>
      </c>
      <c r="E80" s="89"/>
      <c r="F80" s="139"/>
      <c r="G80" s="92">
        <f t="shared" si="0"/>
        <v>0</v>
      </c>
      <c r="H80" s="207"/>
      <c r="I80" s="89"/>
      <c r="J80" s="139"/>
      <c r="K80" s="92">
        <f t="shared" si="1"/>
        <v>0</v>
      </c>
      <c r="L80" s="208"/>
      <c r="M80" s="89"/>
      <c r="N80" s="139"/>
      <c r="O80" s="92">
        <f t="shared" si="2"/>
        <v>0</v>
      </c>
      <c r="P80" s="207"/>
    </row>
    <row r="81" spans="1:16" s="43" customFormat="1" ht="15" customHeight="1" x14ac:dyDescent="0.25">
      <c r="A81" s="215"/>
      <c r="B81" s="215"/>
      <c r="C81" s="138"/>
      <c r="D81" s="93">
        <f>SUMIF('Salários e Custos'!C:C,'Produto 2 - Cálculo Esforço'!$C81,'Salários e Custos'!F:F)</f>
        <v>0</v>
      </c>
      <c r="E81" s="89"/>
      <c r="F81" s="139"/>
      <c r="G81" s="92">
        <f t="shared" si="0"/>
        <v>0</v>
      </c>
      <c r="H81" s="207"/>
      <c r="I81" s="89"/>
      <c r="J81" s="138"/>
      <c r="K81" s="93">
        <f t="shared" si="1"/>
        <v>0</v>
      </c>
      <c r="L81" s="208"/>
      <c r="M81" s="89"/>
      <c r="N81" s="139"/>
      <c r="O81" s="92">
        <f t="shared" si="2"/>
        <v>0</v>
      </c>
      <c r="P81" s="207"/>
    </row>
    <row r="82" spans="1:16" s="43" customFormat="1" ht="15" customHeight="1" x14ac:dyDescent="0.25">
      <c r="A82" s="215"/>
      <c r="B82" s="215" t="s">
        <v>181</v>
      </c>
      <c r="C82" s="138" t="s">
        <v>16</v>
      </c>
      <c r="D82" s="93">
        <f>SUMIF('Salários e Custos'!C:C,'Produto 2 - Cálculo Esforço'!$C82,'Salários e Custos'!F:F)</f>
        <v>14505.08</v>
      </c>
      <c r="E82" s="89"/>
      <c r="F82" s="139">
        <v>5</v>
      </c>
      <c r="G82" s="92">
        <f t="shared" si="0"/>
        <v>3296.61</v>
      </c>
      <c r="H82" s="207">
        <f>SUM(G82:G85)</f>
        <v>7015.56</v>
      </c>
      <c r="I82" s="89"/>
      <c r="J82" s="138">
        <v>5</v>
      </c>
      <c r="K82" s="93">
        <f t="shared" si="1"/>
        <v>3296.61</v>
      </c>
      <c r="L82" s="208">
        <f>SUM(K82:K85)</f>
        <v>7015.56</v>
      </c>
      <c r="M82" s="89"/>
      <c r="N82" s="139">
        <v>3</v>
      </c>
      <c r="O82" s="92">
        <f t="shared" si="2"/>
        <v>1977.97</v>
      </c>
      <c r="P82" s="207">
        <f>SUM(O82:O85)</f>
        <v>5696.92</v>
      </c>
    </row>
    <row r="83" spans="1:16" s="43" customFormat="1" ht="15" customHeight="1" x14ac:dyDescent="0.25">
      <c r="A83" s="215"/>
      <c r="B83" s="215"/>
      <c r="C83" s="138" t="s">
        <v>17</v>
      </c>
      <c r="D83" s="93">
        <f>SUMIF('Salários e Custos'!C:C,'Produto 2 - Cálculo Esforço'!$C83,'Salários e Custos'!F:F)</f>
        <v>11347.68</v>
      </c>
      <c r="E83" s="89"/>
      <c r="F83" s="139">
        <v>5</v>
      </c>
      <c r="G83" s="92">
        <f t="shared" si="0"/>
        <v>2579.02</v>
      </c>
      <c r="H83" s="207"/>
      <c r="I83" s="89"/>
      <c r="J83" s="139">
        <v>5</v>
      </c>
      <c r="K83" s="92">
        <f t="shared" si="1"/>
        <v>2579.02</v>
      </c>
      <c r="L83" s="208"/>
      <c r="M83" s="89"/>
      <c r="N83" s="139">
        <v>5</v>
      </c>
      <c r="O83" s="92">
        <f t="shared" si="2"/>
        <v>2579.02</v>
      </c>
      <c r="P83" s="207"/>
    </row>
    <row r="84" spans="1:16" s="43" customFormat="1" ht="15" customHeight="1" x14ac:dyDescent="0.25">
      <c r="A84" s="215"/>
      <c r="B84" s="215"/>
      <c r="C84" s="138" t="s">
        <v>26</v>
      </c>
      <c r="D84" s="93">
        <f>SUMIF('Salários e Custos'!C:C,'Produto 2 - Cálculo Esforço'!$C84,'Salários e Custos'!F:F)</f>
        <v>5015.7</v>
      </c>
      <c r="E84" s="89"/>
      <c r="F84" s="139">
        <v>5</v>
      </c>
      <c r="G84" s="92">
        <f t="shared" si="0"/>
        <v>1139.93</v>
      </c>
      <c r="H84" s="207"/>
      <c r="I84" s="89"/>
      <c r="J84" s="138">
        <v>5</v>
      </c>
      <c r="K84" s="93">
        <f t="shared" si="1"/>
        <v>1139.93</v>
      </c>
      <c r="L84" s="208"/>
      <c r="M84" s="89"/>
      <c r="N84" s="139">
        <v>5</v>
      </c>
      <c r="O84" s="92">
        <f t="shared" si="2"/>
        <v>1139.93</v>
      </c>
      <c r="P84" s="207"/>
    </row>
    <row r="85" spans="1:16" s="43" customFormat="1" ht="15" customHeight="1" x14ac:dyDescent="0.25">
      <c r="A85" s="215"/>
      <c r="B85" s="215"/>
      <c r="C85" s="138"/>
      <c r="D85" s="93">
        <f>SUMIF('Salários e Custos'!C:C,'Produto 2 - Cálculo Esforço'!$C85,'Salários e Custos'!F:F)</f>
        <v>0</v>
      </c>
      <c r="E85" s="89"/>
      <c r="F85" s="139"/>
      <c r="G85" s="92">
        <f t="shared" si="0"/>
        <v>0</v>
      </c>
      <c r="H85" s="207"/>
      <c r="I85" s="89"/>
      <c r="J85" s="138"/>
      <c r="K85" s="93">
        <f t="shared" si="1"/>
        <v>0</v>
      </c>
      <c r="L85" s="208"/>
      <c r="M85" s="89"/>
      <c r="N85" s="139"/>
      <c r="O85" s="92">
        <f t="shared" si="2"/>
        <v>0</v>
      </c>
      <c r="P85" s="207"/>
    </row>
    <row r="86" spans="1:16" s="43" customFormat="1" ht="15" customHeight="1" x14ac:dyDescent="0.25">
      <c r="A86" s="215"/>
      <c r="B86" s="215" t="s">
        <v>178</v>
      </c>
      <c r="C86" s="138" t="s">
        <v>16</v>
      </c>
      <c r="D86" s="93">
        <f>SUMIF('Salários e Custos'!C:C,'Produto 2 - Cálculo Esforço'!$C86,'Salários e Custos'!F:F)</f>
        <v>14505.08</v>
      </c>
      <c r="E86" s="89"/>
      <c r="F86" s="139">
        <v>7</v>
      </c>
      <c r="G86" s="92">
        <f t="shared" si="0"/>
        <v>4615.25</v>
      </c>
      <c r="H86" s="207">
        <f>SUM(G86:G89)</f>
        <v>7585.74</v>
      </c>
      <c r="I86" s="89"/>
      <c r="J86" s="138">
        <v>20</v>
      </c>
      <c r="K86" s="93">
        <f t="shared" si="1"/>
        <v>13186.44</v>
      </c>
      <c r="L86" s="208">
        <f>SUM(K86:K89)</f>
        <v>21673.550000000003</v>
      </c>
      <c r="M86" s="89"/>
      <c r="N86" s="139">
        <v>12</v>
      </c>
      <c r="O86" s="92">
        <f t="shared" si="2"/>
        <v>7911.86</v>
      </c>
      <c r="P86" s="207">
        <f>SUM(O86:O89)</f>
        <v>13004.130000000001</v>
      </c>
    </row>
    <row r="87" spans="1:16" s="43" customFormat="1" ht="15" customHeight="1" x14ac:dyDescent="0.25">
      <c r="A87" s="215"/>
      <c r="B87" s="215"/>
      <c r="C87" s="138" t="s">
        <v>18</v>
      </c>
      <c r="D87" s="93">
        <f>SUMIF('Salários e Custos'!C:C,'Produto 2 - Cálculo Esforço'!$C87,'Salários e Custos'!F:F)</f>
        <v>9335.82</v>
      </c>
      <c r="E87" s="89"/>
      <c r="F87" s="139">
        <v>7</v>
      </c>
      <c r="G87" s="92">
        <f t="shared" si="0"/>
        <v>2970.49</v>
      </c>
      <c r="H87" s="207"/>
      <c r="I87" s="89"/>
      <c r="J87" s="139">
        <v>20</v>
      </c>
      <c r="K87" s="92">
        <f t="shared" si="1"/>
        <v>8487.11</v>
      </c>
      <c r="L87" s="208"/>
      <c r="M87" s="89"/>
      <c r="N87" s="139">
        <v>12</v>
      </c>
      <c r="O87" s="92">
        <f t="shared" si="2"/>
        <v>5092.2700000000004</v>
      </c>
      <c r="P87" s="207"/>
    </row>
    <row r="88" spans="1:16" s="43" customFormat="1" ht="15" customHeight="1" x14ac:dyDescent="0.25">
      <c r="A88" s="215"/>
      <c r="B88" s="215"/>
      <c r="C88" s="138"/>
      <c r="D88" s="93">
        <f>SUMIF('Salários e Custos'!C:C,'Produto 2 - Cálculo Esforço'!$C88,'Salários e Custos'!F:F)</f>
        <v>0</v>
      </c>
      <c r="E88" s="89"/>
      <c r="F88" s="139"/>
      <c r="G88" s="92">
        <f t="shared" si="0"/>
        <v>0</v>
      </c>
      <c r="H88" s="207"/>
      <c r="I88" s="89"/>
      <c r="J88" s="139"/>
      <c r="K88" s="92">
        <f t="shared" si="1"/>
        <v>0</v>
      </c>
      <c r="L88" s="208"/>
      <c r="M88" s="89"/>
      <c r="N88" s="139"/>
      <c r="O88" s="92">
        <f t="shared" si="2"/>
        <v>0</v>
      </c>
      <c r="P88" s="207"/>
    </row>
    <row r="89" spans="1:16" s="43" customFormat="1" ht="15" customHeight="1" x14ac:dyDescent="0.25">
      <c r="A89" s="215"/>
      <c r="B89" s="215"/>
      <c r="C89" s="138"/>
      <c r="D89" s="93">
        <f>SUMIF('Salários e Custos'!C:C,'Produto 2 - Cálculo Esforço'!$C89,'Salários e Custos'!F:F)</f>
        <v>0</v>
      </c>
      <c r="E89" s="89"/>
      <c r="F89" s="139"/>
      <c r="G89" s="92">
        <f t="shared" si="0"/>
        <v>0</v>
      </c>
      <c r="H89" s="207"/>
      <c r="I89" s="89"/>
      <c r="J89" s="138"/>
      <c r="K89" s="93">
        <f t="shared" si="1"/>
        <v>0</v>
      </c>
      <c r="L89" s="208"/>
      <c r="M89" s="89"/>
      <c r="N89" s="139"/>
      <c r="O89" s="92">
        <f t="shared" si="2"/>
        <v>0</v>
      </c>
      <c r="P89" s="207"/>
    </row>
    <row r="90" spans="1:16" s="43" customFormat="1" ht="15" customHeight="1" x14ac:dyDescent="0.25">
      <c r="A90" s="215"/>
      <c r="B90" s="215" t="s">
        <v>151</v>
      </c>
      <c r="C90" s="138" t="s">
        <v>16</v>
      </c>
      <c r="D90" s="93">
        <f>SUMIF('Salários e Custos'!C:C,'Produto 2 - Cálculo Esforço'!$C90,'Salários e Custos'!F:F)</f>
        <v>14505.08</v>
      </c>
      <c r="E90" s="89"/>
      <c r="F90" s="139">
        <v>5</v>
      </c>
      <c r="G90" s="92">
        <f t="shared" si="0"/>
        <v>3296.61</v>
      </c>
      <c r="H90" s="207">
        <f>SUM(G90:G93)</f>
        <v>5418.39</v>
      </c>
      <c r="I90" s="89"/>
      <c r="J90" s="138">
        <v>10</v>
      </c>
      <c r="K90" s="93">
        <f t="shared" si="1"/>
        <v>6593.22</v>
      </c>
      <c r="L90" s="208">
        <f>SUM(K90:K93)</f>
        <v>10836.77</v>
      </c>
      <c r="M90" s="89"/>
      <c r="N90" s="139">
        <v>7</v>
      </c>
      <c r="O90" s="92">
        <f t="shared" si="2"/>
        <v>4615.25</v>
      </c>
      <c r="P90" s="207">
        <f>SUM(O90:O93)</f>
        <v>7585.74</v>
      </c>
    </row>
    <row r="91" spans="1:16" s="43" customFormat="1" ht="15" customHeight="1" x14ac:dyDescent="0.25">
      <c r="A91" s="215"/>
      <c r="B91" s="215"/>
      <c r="C91" s="138" t="s">
        <v>18</v>
      </c>
      <c r="D91" s="93">
        <f>SUMIF('Salários e Custos'!C:C,'Produto 2 - Cálculo Esforço'!$C91,'Salários e Custos'!F:F)</f>
        <v>9335.82</v>
      </c>
      <c r="E91" s="89"/>
      <c r="F91" s="139">
        <v>5</v>
      </c>
      <c r="G91" s="92">
        <f t="shared" si="0"/>
        <v>2121.7800000000002</v>
      </c>
      <c r="H91" s="207"/>
      <c r="I91" s="89"/>
      <c r="J91" s="139">
        <v>10</v>
      </c>
      <c r="K91" s="92">
        <f t="shared" si="1"/>
        <v>4243.55</v>
      </c>
      <c r="L91" s="208"/>
      <c r="M91" s="89"/>
      <c r="N91" s="139">
        <v>7</v>
      </c>
      <c r="O91" s="92">
        <f t="shared" si="2"/>
        <v>2970.49</v>
      </c>
      <c r="P91" s="207"/>
    </row>
    <row r="92" spans="1:16" s="43" customFormat="1" ht="15" customHeight="1" x14ac:dyDescent="0.25">
      <c r="A92" s="215"/>
      <c r="B92" s="215"/>
      <c r="C92" s="138"/>
      <c r="D92" s="93">
        <f>SUMIF('Salários e Custos'!C:C,'Produto 2 - Cálculo Esforço'!$C92,'Salários e Custos'!F:F)</f>
        <v>0</v>
      </c>
      <c r="E92" s="89"/>
      <c r="F92" s="139"/>
      <c r="G92" s="92">
        <f t="shared" si="0"/>
        <v>0</v>
      </c>
      <c r="H92" s="207"/>
      <c r="I92" s="89"/>
      <c r="J92" s="139"/>
      <c r="K92" s="92">
        <f t="shared" si="1"/>
        <v>0</v>
      </c>
      <c r="L92" s="208"/>
      <c r="M92" s="89"/>
      <c r="N92" s="139"/>
      <c r="O92" s="92">
        <f t="shared" si="2"/>
        <v>0</v>
      </c>
      <c r="P92" s="207"/>
    </row>
    <row r="93" spans="1:16" s="43" customFormat="1" ht="15" customHeight="1" x14ac:dyDescent="0.25">
      <c r="A93" s="215"/>
      <c r="B93" s="215"/>
      <c r="C93" s="138"/>
      <c r="D93" s="93">
        <f>SUMIF('Salários e Custos'!C:C,'Produto 2 - Cálculo Esforço'!$C93,'Salários e Custos'!F:F)</f>
        <v>0</v>
      </c>
      <c r="E93" s="89"/>
      <c r="F93" s="139"/>
      <c r="G93" s="92">
        <f t="shared" si="0"/>
        <v>0</v>
      </c>
      <c r="H93" s="207"/>
      <c r="I93" s="89"/>
      <c r="J93" s="138"/>
      <c r="K93" s="93">
        <f t="shared" si="1"/>
        <v>0</v>
      </c>
      <c r="L93" s="208"/>
      <c r="M93" s="89"/>
      <c r="N93" s="139"/>
      <c r="O93" s="92">
        <f t="shared" si="2"/>
        <v>0</v>
      </c>
      <c r="P93" s="207"/>
    </row>
    <row r="94" spans="1:16" s="43" customFormat="1" ht="15" customHeight="1" x14ac:dyDescent="0.25">
      <c r="A94" s="215"/>
      <c r="B94" s="215" t="s">
        <v>128</v>
      </c>
      <c r="C94" s="138" t="s">
        <v>17</v>
      </c>
      <c r="D94" s="93">
        <f>SUMIF('Salários e Custos'!C:C,'Produto 2 - Cálculo Esforço'!$C94,'Salários e Custos'!F:F)</f>
        <v>11347.68</v>
      </c>
      <c r="E94" s="89"/>
      <c r="F94" s="139">
        <v>3</v>
      </c>
      <c r="G94" s="92">
        <f t="shared" si="0"/>
        <v>1547.41</v>
      </c>
      <c r="H94" s="207">
        <f>SUM(G94:G97)</f>
        <v>2003.38</v>
      </c>
      <c r="I94" s="89"/>
      <c r="J94" s="138">
        <v>4</v>
      </c>
      <c r="K94" s="93">
        <f t="shared" si="1"/>
        <v>2063.21</v>
      </c>
      <c r="L94" s="208">
        <f>SUM(K94:K97)</f>
        <v>2519.1800000000003</v>
      </c>
      <c r="M94" s="89"/>
      <c r="N94" s="139">
        <v>2</v>
      </c>
      <c r="O94" s="92">
        <f t="shared" si="2"/>
        <v>1031.6099999999999</v>
      </c>
      <c r="P94" s="207">
        <f>SUM(O94:O97)</f>
        <v>1487.58</v>
      </c>
    </row>
    <row r="95" spans="1:16" s="43" customFormat="1" ht="15" customHeight="1" x14ac:dyDescent="0.25">
      <c r="A95" s="215"/>
      <c r="B95" s="215"/>
      <c r="C95" s="138" t="s">
        <v>26</v>
      </c>
      <c r="D95" s="93">
        <f>SUMIF('Salários e Custos'!C:C,'Produto 2 - Cálculo Esforço'!$C95,'Salários e Custos'!F:F)</f>
        <v>5015.7</v>
      </c>
      <c r="E95" s="89"/>
      <c r="F95" s="139">
        <v>2</v>
      </c>
      <c r="G95" s="92">
        <f t="shared" si="0"/>
        <v>455.97</v>
      </c>
      <c r="H95" s="207"/>
      <c r="I95" s="89"/>
      <c r="J95" s="139">
        <v>2</v>
      </c>
      <c r="K95" s="92">
        <f t="shared" si="1"/>
        <v>455.97</v>
      </c>
      <c r="L95" s="208"/>
      <c r="M95" s="89"/>
      <c r="N95" s="139">
        <v>2</v>
      </c>
      <c r="O95" s="92">
        <f t="shared" si="2"/>
        <v>455.97</v>
      </c>
      <c r="P95" s="207"/>
    </row>
    <row r="96" spans="1:16" s="43" customFormat="1" ht="15" customHeight="1" x14ac:dyDescent="0.25">
      <c r="A96" s="215"/>
      <c r="B96" s="215"/>
      <c r="C96" s="138"/>
      <c r="D96" s="93">
        <f>SUMIF('Salários e Custos'!C:C,'Produto 2 - Cálculo Esforço'!$C96,'Salários e Custos'!F:F)</f>
        <v>0</v>
      </c>
      <c r="E96" s="89"/>
      <c r="F96" s="139"/>
      <c r="G96" s="92">
        <f t="shared" si="0"/>
        <v>0</v>
      </c>
      <c r="H96" s="207"/>
      <c r="I96" s="89"/>
      <c r="J96" s="139"/>
      <c r="K96" s="92">
        <f t="shared" si="1"/>
        <v>0</v>
      </c>
      <c r="L96" s="208"/>
      <c r="M96" s="89"/>
      <c r="N96" s="139"/>
      <c r="O96" s="92">
        <f t="shared" si="2"/>
        <v>0</v>
      </c>
      <c r="P96" s="207"/>
    </row>
    <row r="97" spans="1:16" s="43" customFormat="1" ht="15" customHeight="1" x14ac:dyDescent="0.25">
      <c r="A97" s="215"/>
      <c r="B97" s="215"/>
      <c r="C97" s="138"/>
      <c r="D97" s="93">
        <f>SUMIF('Salários e Custos'!C:C,'Produto 2 - Cálculo Esforço'!$C97,'Salários e Custos'!F:F)</f>
        <v>0</v>
      </c>
      <c r="E97" s="89"/>
      <c r="F97" s="139"/>
      <c r="G97" s="92">
        <f t="shared" si="0"/>
        <v>0</v>
      </c>
      <c r="H97" s="207"/>
      <c r="I97" s="89"/>
      <c r="J97" s="138"/>
      <c r="K97" s="93">
        <f t="shared" si="1"/>
        <v>0</v>
      </c>
      <c r="L97" s="208"/>
      <c r="M97" s="89"/>
      <c r="N97" s="139"/>
      <c r="O97" s="92">
        <f t="shared" si="2"/>
        <v>0</v>
      </c>
      <c r="P97" s="207"/>
    </row>
    <row r="98" spans="1:16" s="43" customFormat="1" ht="15" customHeight="1" x14ac:dyDescent="0.25">
      <c r="A98" s="215"/>
      <c r="B98" s="215" t="s">
        <v>112</v>
      </c>
      <c r="C98" s="138" t="s">
        <v>17</v>
      </c>
      <c r="D98" s="93">
        <f>SUMIF('Salários e Custos'!C:C,'Produto 2 - Cálculo Esforço'!$C98,'Salários e Custos'!F:F)</f>
        <v>11347.68</v>
      </c>
      <c r="E98" s="89"/>
      <c r="F98" s="139">
        <v>4</v>
      </c>
      <c r="G98" s="92">
        <f t="shared" si="0"/>
        <v>2063.21</v>
      </c>
      <c r="H98" s="207">
        <f>SUM(G98:G101)</f>
        <v>2519.1800000000003</v>
      </c>
      <c r="I98" s="89"/>
      <c r="J98" s="138">
        <v>5</v>
      </c>
      <c r="K98" s="93">
        <f t="shared" si="1"/>
        <v>2579.02</v>
      </c>
      <c r="L98" s="208">
        <f>SUM(K98:K101)</f>
        <v>3262.98</v>
      </c>
      <c r="M98" s="89"/>
      <c r="N98" s="139">
        <v>3</v>
      </c>
      <c r="O98" s="92">
        <f t="shared" si="2"/>
        <v>1547.41</v>
      </c>
      <c r="P98" s="207">
        <f>SUM(O98:O101)</f>
        <v>2003.38</v>
      </c>
    </row>
    <row r="99" spans="1:16" s="43" customFormat="1" ht="15" customHeight="1" x14ac:dyDescent="0.25">
      <c r="A99" s="215"/>
      <c r="B99" s="215"/>
      <c r="C99" s="138" t="s">
        <v>26</v>
      </c>
      <c r="D99" s="93">
        <f>SUMIF('Salários e Custos'!C:C,'Produto 2 - Cálculo Esforço'!$C99,'Salários e Custos'!F:F)</f>
        <v>5015.7</v>
      </c>
      <c r="E99" s="89"/>
      <c r="F99" s="139">
        <v>2</v>
      </c>
      <c r="G99" s="92">
        <f t="shared" si="0"/>
        <v>455.97</v>
      </c>
      <c r="H99" s="207"/>
      <c r="I99" s="89"/>
      <c r="J99" s="139">
        <v>3</v>
      </c>
      <c r="K99" s="92">
        <f t="shared" si="1"/>
        <v>683.96</v>
      </c>
      <c r="L99" s="208"/>
      <c r="M99" s="89"/>
      <c r="N99" s="139">
        <v>2</v>
      </c>
      <c r="O99" s="92">
        <f t="shared" si="2"/>
        <v>455.97</v>
      </c>
      <c r="P99" s="207"/>
    </row>
    <row r="100" spans="1:16" s="43" customFormat="1" ht="15" customHeight="1" x14ac:dyDescent="0.25">
      <c r="A100" s="215"/>
      <c r="B100" s="215"/>
      <c r="C100" s="138"/>
      <c r="D100" s="93">
        <f>SUMIF('Salários e Custos'!C:C,'Produto 2 - Cálculo Esforço'!$C100,'Salários e Custos'!F:F)</f>
        <v>0</v>
      </c>
      <c r="E100" s="89"/>
      <c r="F100" s="139"/>
      <c r="G100" s="92">
        <f t="shared" si="0"/>
        <v>0</v>
      </c>
      <c r="H100" s="207"/>
      <c r="I100" s="89"/>
      <c r="J100" s="139"/>
      <c r="K100" s="92">
        <f t="shared" si="1"/>
        <v>0</v>
      </c>
      <c r="L100" s="208"/>
      <c r="M100" s="89"/>
      <c r="N100" s="139"/>
      <c r="O100" s="92">
        <f t="shared" si="2"/>
        <v>0</v>
      </c>
      <c r="P100" s="207"/>
    </row>
    <row r="101" spans="1:16" s="43" customFormat="1" ht="15" customHeight="1" x14ac:dyDescent="0.25">
      <c r="A101" s="215"/>
      <c r="B101" s="215"/>
      <c r="C101" s="138"/>
      <c r="D101" s="93">
        <f>SUMIF('Salários e Custos'!C:C,'Produto 2 - Cálculo Esforço'!$C101,'Salários e Custos'!F:F)</f>
        <v>0</v>
      </c>
      <c r="E101" s="89"/>
      <c r="F101" s="139"/>
      <c r="G101" s="92">
        <f t="shared" si="0"/>
        <v>0</v>
      </c>
      <c r="H101" s="207"/>
      <c r="I101" s="89"/>
      <c r="J101" s="138"/>
      <c r="K101" s="93">
        <f t="shared" si="1"/>
        <v>0</v>
      </c>
      <c r="L101" s="208"/>
      <c r="M101" s="89"/>
      <c r="N101" s="139"/>
      <c r="O101" s="92">
        <f t="shared" si="2"/>
        <v>0</v>
      </c>
      <c r="P101" s="207"/>
    </row>
    <row r="102" spans="1:16" s="43" customFormat="1" ht="15" customHeight="1" x14ac:dyDescent="0.25">
      <c r="A102" s="215"/>
      <c r="B102" s="215" t="s">
        <v>180</v>
      </c>
      <c r="C102" s="138" t="s">
        <v>16</v>
      </c>
      <c r="D102" s="93">
        <f>SUMIF('Salários e Custos'!C:C,'Produto 2 - Cálculo Esforço'!$C102,'Salários e Custos'!F:F)</f>
        <v>14505.08</v>
      </c>
      <c r="E102" s="89"/>
      <c r="F102" s="139">
        <v>3</v>
      </c>
      <c r="G102" s="92">
        <f t="shared" si="0"/>
        <v>1977.97</v>
      </c>
      <c r="H102" s="207">
        <f>SUM(G102:G105)</f>
        <v>9846.08</v>
      </c>
      <c r="I102" s="89"/>
      <c r="J102" s="138">
        <v>5</v>
      </c>
      <c r="K102" s="93">
        <f t="shared" si="1"/>
        <v>3296.61</v>
      </c>
      <c r="L102" s="208">
        <f>SUM(K102:K105)</f>
        <v>15047.09</v>
      </c>
      <c r="M102" s="89"/>
      <c r="N102" s="139">
        <v>5</v>
      </c>
      <c r="O102" s="92">
        <f t="shared" si="2"/>
        <v>3296.61</v>
      </c>
      <c r="P102" s="207">
        <f>SUM(O102:O105)</f>
        <v>15047.09</v>
      </c>
    </row>
    <row r="103" spans="1:16" s="43" customFormat="1" ht="15" customHeight="1" x14ac:dyDescent="0.25">
      <c r="A103" s="215"/>
      <c r="B103" s="215"/>
      <c r="C103" s="138" t="s">
        <v>19</v>
      </c>
      <c r="D103" s="93">
        <f>SUMIF('Salários e Custos'!C:C,'Produto 2 - Cálculo Esforço'!$C103,'Salários e Custos'!F:F)</f>
        <v>8882.5</v>
      </c>
      <c r="E103" s="89"/>
      <c r="F103" s="139">
        <v>10</v>
      </c>
      <c r="G103" s="92">
        <f t="shared" si="0"/>
        <v>4037.5</v>
      </c>
      <c r="H103" s="207"/>
      <c r="I103" s="89"/>
      <c r="J103" s="138">
        <v>15</v>
      </c>
      <c r="K103" s="93">
        <f t="shared" si="1"/>
        <v>6056.25</v>
      </c>
      <c r="L103" s="208"/>
      <c r="M103" s="89"/>
      <c r="N103" s="139">
        <v>15</v>
      </c>
      <c r="O103" s="92">
        <f t="shared" si="2"/>
        <v>6056.25</v>
      </c>
      <c r="P103" s="207"/>
    </row>
    <row r="104" spans="1:16" s="43" customFormat="1" ht="15" customHeight="1" x14ac:dyDescent="0.25">
      <c r="A104" s="215"/>
      <c r="B104" s="215"/>
      <c r="C104" s="138" t="s">
        <v>26</v>
      </c>
      <c r="D104" s="93">
        <f>SUMIF('Salários e Custos'!C:C,'Produto 2 - Cálculo Esforço'!$C104,'Salários e Custos'!F:F)</f>
        <v>5015.7</v>
      </c>
      <c r="E104" s="89"/>
      <c r="F104" s="139">
        <v>10</v>
      </c>
      <c r="G104" s="92">
        <f t="shared" si="0"/>
        <v>2279.86</v>
      </c>
      <c r="H104" s="207"/>
      <c r="I104" s="89"/>
      <c r="J104" s="138">
        <v>15</v>
      </c>
      <c r="K104" s="93">
        <f t="shared" si="1"/>
        <v>3419.8</v>
      </c>
      <c r="L104" s="208"/>
      <c r="M104" s="89"/>
      <c r="N104" s="139">
        <v>15</v>
      </c>
      <c r="O104" s="92">
        <f t="shared" si="2"/>
        <v>3419.8</v>
      </c>
      <c r="P104" s="207"/>
    </row>
    <row r="105" spans="1:16" s="43" customFormat="1" ht="15.75" customHeight="1" x14ac:dyDescent="0.25">
      <c r="A105" s="215"/>
      <c r="B105" s="215"/>
      <c r="C105" s="138" t="s">
        <v>31</v>
      </c>
      <c r="D105" s="93">
        <f>SUMIF('Salários e Custos'!C:C,'Produto 2 - Cálculo Esforço'!$C105,'Salários e Custos'!F:F)</f>
        <v>2274.4299999999998</v>
      </c>
      <c r="E105" s="89"/>
      <c r="F105" s="139">
        <v>15</v>
      </c>
      <c r="G105" s="92">
        <f t="shared" si="0"/>
        <v>1550.75</v>
      </c>
      <c r="H105" s="207"/>
      <c r="I105" s="89"/>
      <c r="J105" s="138">
        <v>22</v>
      </c>
      <c r="K105" s="93">
        <f t="shared" si="1"/>
        <v>2274.4299999999998</v>
      </c>
      <c r="L105" s="208"/>
      <c r="M105" s="89"/>
      <c r="N105" s="139">
        <v>22</v>
      </c>
      <c r="O105" s="92">
        <f t="shared" si="2"/>
        <v>2274.4299999999998</v>
      </c>
      <c r="P105" s="207"/>
    </row>
    <row r="106" spans="1:16" s="43" customFormat="1" ht="15" customHeight="1" x14ac:dyDescent="0.25">
      <c r="A106" s="215" t="s">
        <v>157</v>
      </c>
      <c r="B106" s="215" t="s">
        <v>153</v>
      </c>
      <c r="C106" s="138" t="s">
        <v>18</v>
      </c>
      <c r="D106" s="93">
        <f>SUMIF('Salários e Custos'!C:C,'Produto 2 - Cálculo Esforço'!$C106,'Salários e Custos'!F:F)</f>
        <v>9335.82</v>
      </c>
      <c r="E106" s="89"/>
      <c r="F106" s="139">
        <v>2</v>
      </c>
      <c r="G106" s="92">
        <f t="shared" si="0"/>
        <v>848.71</v>
      </c>
      <c r="H106" s="207">
        <f>SUM(G106:G109)</f>
        <v>1304.68</v>
      </c>
      <c r="I106" s="89"/>
      <c r="J106" s="138">
        <v>3</v>
      </c>
      <c r="K106" s="93">
        <f t="shared" si="1"/>
        <v>1273.07</v>
      </c>
      <c r="L106" s="208">
        <f>SUM(K106:K109)</f>
        <v>1957.03</v>
      </c>
      <c r="M106" s="89"/>
      <c r="N106" s="139">
        <v>7</v>
      </c>
      <c r="O106" s="92">
        <f t="shared" si="2"/>
        <v>2970.49</v>
      </c>
      <c r="P106" s="207">
        <f>SUM(O106:O109)</f>
        <v>4566.3899999999994</v>
      </c>
    </row>
    <row r="107" spans="1:16" s="43" customFormat="1" ht="15" customHeight="1" x14ac:dyDescent="0.25">
      <c r="A107" s="215"/>
      <c r="B107" s="215"/>
      <c r="C107" s="138" t="s">
        <v>26</v>
      </c>
      <c r="D107" s="93">
        <f>SUMIF('Salários e Custos'!C:C,'Produto 2 - Cálculo Esforço'!$C107,'Salários e Custos'!F:F)</f>
        <v>5015.7</v>
      </c>
      <c r="E107" s="89"/>
      <c r="F107" s="139">
        <v>2</v>
      </c>
      <c r="G107" s="92">
        <f t="shared" si="0"/>
        <v>455.97</v>
      </c>
      <c r="H107" s="207"/>
      <c r="I107" s="89"/>
      <c r="J107" s="139">
        <v>3</v>
      </c>
      <c r="K107" s="92">
        <f t="shared" si="1"/>
        <v>683.96</v>
      </c>
      <c r="L107" s="208"/>
      <c r="M107" s="89"/>
      <c r="N107" s="139">
        <v>7</v>
      </c>
      <c r="O107" s="92">
        <f t="shared" si="2"/>
        <v>1595.9</v>
      </c>
      <c r="P107" s="207"/>
    </row>
    <row r="108" spans="1:16" s="43" customFormat="1" ht="15" customHeight="1" x14ac:dyDescent="0.25">
      <c r="A108" s="215"/>
      <c r="B108" s="215"/>
      <c r="C108" s="138"/>
      <c r="D108" s="93">
        <f>SUMIF('Salários e Custos'!C:C,'Produto 2 - Cálculo Esforço'!$C108,'Salários e Custos'!F:F)</f>
        <v>0</v>
      </c>
      <c r="E108" s="89"/>
      <c r="F108" s="139"/>
      <c r="G108" s="92">
        <f t="shared" si="0"/>
        <v>0</v>
      </c>
      <c r="H108" s="207"/>
      <c r="I108" s="89"/>
      <c r="J108" s="139"/>
      <c r="K108" s="92">
        <f t="shared" si="1"/>
        <v>0</v>
      </c>
      <c r="L108" s="208"/>
      <c r="M108" s="89"/>
      <c r="N108" s="139"/>
      <c r="O108" s="92">
        <f t="shared" si="2"/>
        <v>0</v>
      </c>
      <c r="P108" s="207"/>
    </row>
    <row r="109" spans="1:16" s="43" customFormat="1" ht="15" customHeight="1" x14ac:dyDescent="0.25">
      <c r="A109" s="215"/>
      <c r="B109" s="215"/>
      <c r="C109" s="138"/>
      <c r="D109" s="93">
        <f>SUMIF('Salários e Custos'!C:C,'Produto 2 - Cálculo Esforço'!$C109,'Salários e Custos'!F:F)</f>
        <v>0</v>
      </c>
      <c r="E109" s="89"/>
      <c r="F109" s="139"/>
      <c r="G109" s="92">
        <f t="shared" si="0"/>
        <v>0</v>
      </c>
      <c r="H109" s="207"/>
      <c r="I109" s="89"/>
      <c r="J109" s="138"/>
      <c r="K109" s="93">
        <f t="shared" si="1"/>
        <v>0</v>
      </c>
      <c r="L109" s="208"/>
      <c r="M109" s="89"/>
      <c r="N109" s="139"/>
      <c r="O109" s="92">
        <f t="shared" si="2"/>
        <v>0</v>
      </c>
      <c r="P109" s="207"/>
    </row>
    <row r="110" spans="1:16" s="43" customFormat="1" ht="15" customHeight="1" x14ac:dyDescent="0.25">
      <c r="A110" s="215"/>
      <c r="B110" s="215" t="s">
        <v>155</v>
      </c>
      <c r="C110" s="138" t="s">
        <v>16</v>
      </c>
      <c r="D110" s="93">
        <f>SUMIF('Salários e Custos'!C:C,'Produto 2 - Cálculo Esforço'!$C110,'Salários e Custos'!F:F)</f>
        <v>14505.08</v>
      </c>
      <c r="E110" s="89"/>
      <c r="F110" s="139"/>
      <c r="G110" s="92">
        <f t="shared" si="0"/>
        <v>0</v>
      </c>
      <c r="H110" s="207">
        <f>SUM(G110:G113)</f>
        <v>0</v>
      </c>
      <c r="I110" s="89"/>
      <c r="J110" s="138">
        <v>1</v>
      </c>
      <c r="K110" s="93">
        <f t="shared" si="1"/>
        <v>659.32</v>
      </c>
      <c r="L110" s="208">
        <f>SUM(K110:K113)</f>
        <v>2801.5299999999997</v>
      </c>
      <c r="M110" s="89"/>
      <c r="N110" s="139">
        <v>1</v>
      </c>
      <c r="O110" s="92">
        <f t="shared" si="2"/>
        <v>659.32</v>
      </c>
      <c r="P110" s="207">
        <f>SUM(O110:O113)</f>
        <v>2801.5299999999997</v>
      </c>
    </row>
    <row r="111" spans="1:16" s="43" customFormat="1" ht="15" customHeight="1" x14ac:dyDescent="0.25">
      <c r="A111" s="215"/>
      <c r="B111" s="215"/>
      <c r="C111" s="138" t="s">
        <v>17</v>
      </c>
      <c r="D111" s="93">
        <f>SUMIF('Salários e Custos'!C:C,'Produto 2 - Cálculo Esforço'!$C111,'Salários e Custos'!F:F)</f>
        <v>11347.68</v>
      </c>
      <c r="E111" s="89"/>
      <c r="F111" s="139"/>
      <c r="G111" s="92">
        <f t="shared" si="0"/>
        <v>0</v>
      </c>
      <c r="H111" s="207"/>
      <c r="I111" s="89"/>
      <c r="J111" s="138">
        <v>1</v>
      </c>
      <c r="K111" s="93">
        <f t="shared" si="1"/>
        <v>515.79999999999995</v>
      </c>
      <c r="L111" s="208"/>
      <c r="M111" s="89"/>
      <c r="N111" s="139">
        <v>1</v>
      </c>
      <c r="O111" s="92">
        <f t="shared" si="2"/>
        <v>515.79999999999995</v>
      </c>
      <c r="P111" s="207"/>
    </row>
    <row r="112" spans="1:16" s="43" customFormat="1" ht="15" customHeight="1" x14ac:dyDescent="0.25">
      <c r="A112" s="215"/>
      <c r="B112" s="215"/>
      <c r="C112" s="138" t="s">
        <v>19</v>
      </c>
      <c r="D112" s="93">
        <f>SUMIF('Salários e Custos'!C:C,'Produto 2 - Cálculo Esforço'!$C112,'Salários e Custos'!F:F)</f>
        <v>8882.5</v>
      </c>
      <c r="E112" s="89"/>
      <c r="F112" s="139"/>
      <c r="G112" s="92">
        <f t="shared" si="0"/>
        <v>0</v>
      </c>
      <c r="H112" s="207"/>
      <c r="I112" s="89"/>
      <c r="J112" s="138">
        <v>3</v>
      </c>
      <c r="K112" s="93">
        <f t="shared" si="1"/>
        <v>1211.25</v>
      </c>
      <c r="L112" s="208"/>
      <c r="M112" s="89"/>
      <c r="N112" s="139">
        <v>3</v>
      </c>
      <c r="O112" s="92">
        <f t="shared" si="2"/>
        <v>1211.25</v>
      </c>
      <c r="P112" s="207"/>
    </row>
    <row r="113" spans="1:16" s="43" customFormat="1" ht="15.75" customHeight="1" x14ac:dyDescent="0.25">
      <c r="A113" s="215"/>
      <c r="B113" s="215"/>
      <c r="C113" s="138" t="s">
        <v>29</v>
      </c>
      <c r="D113" s="93">
        <f>SUMIF('Salários e Custos'!C:C,'Produto 2 - Cálculo Esforço'!$C113,'Salários e Custos'!F:F)</f>
        <v>3044.5</v>
      </c>
      <c r="E113" s="89"/>
      <c r="F113" s="139"/>
      <c r="G113" s="92">
        <f t="shared" si="0"/>
        <v>0</v>
      </c>
      <c r="H113" s="207"/>
      <c r="I113" s="89"/>
      <c r="J113" s="138">
        <v>3</v>
      </c>
      <c r="K113" s="93">
        <f t="shared" si="1"/>
        <v>415.16</v>
      </c>
      <c r="L113" s="208"/>
      <c r="M113" s="89"/>
      <c r="N113" s="139">
        <v>3</v>
      </c>
      <c r="O113" s="92">
        <f t="shared" si="2"/>
        <v>415.16</v>
      </c>
      <c r="P113" s="207"/>
    </row>
    <row r="114" spans="1:16" s="43" customFormat="1" ht="15" customHeight="1" x14ac:dyDescent="0.25">
      <c r="A114" s="215"/>
      <c r="B114" s="215" t="s">
        <v>158</v>
      </c>
      <c r="C114" s="138" t="s">
        <v>16</v>
      </c>
      <c r="D114" s="93">
        <f>SUMIF('Salários e Custos'!C:C,'Produto 2 - Cálculo Esforço'!$C114,'Salários e Custos'!F:F)</f>
        <v>14505.08</v>
      </c>
      <c r="E114" s="89"/>
      <c r="F114" s="139">
        <v>1</v>
      </c>
      <c r="G114" s="92">
        <f t="shared" si="0"/>
        <v>659.32</v>
      </c>
      <c r="H114" s="207">
        <f>SUM(G114:G117)</f>
        <v>2259.39</v>
      </c>
      <c r="I114" s="89"/>
      <c r="J114" s="138">
        <v>1</v>
      </c>
      <c r="K114" s="93">
        <f t="shared" si="1"/>
        <v>659.32</v>
      </c>
      <c r="L114" s="208">
        <f>SUM(K114:K117)</f>
        <v>2259.39</v>
      </c>
      <c r="M114" s="89"/>
      <c r="N114" s="139"/>
      <c r="O114" s="92">
        <f t="shared" si="2"/>
        <v>0</v>
      </c>
      <c r="P114" s="207">
        <f>SUM(O114:O117)</f>
        <v>0</v>
      </c>
    </row>
    <row r="115" spans="1:16" s="43" customFormat="1" ht="15" customHeight="1" x14ac:dyDescent="0.25">
      <c r="A115" s="215"/>
      <c r="B115" s="215"/>
      <c r="C115" s="138" t="s">
        <v>17</v>
      </c>
      <c r="D115" s="93">
        <f>SUMIF('Salários e Custos'!C:C,'Produto 2 - Cálculo Esforço'!$C115,'Salários e Custos'!F:F)</f>
        <v>11347.68</v>
      </c>
      <c r="E115" s="89"/>
      <c r="F115" s="139">
        <v>1</v>
      </c>
      <c r="G115" s="92">
        <f t="shared" si="0"/>
        <v>515.79999999999995</v>
      </c>
      <c r="H115" s="207"/>
      <c r="I115" s="89"/>
      <c r="J115" s="138">
        <v>1</v>
      </c>
      <c r="K115" s="93">
        <f t="shared" si="1"/>
        <v>515.79999999999995</v>
      </c>
      <c r="L115" s="208"/>
      <c r="M115" s="89"/>
      <c r="N115" s="139"/>
      <c r="O115" s="92">
        <f t="shared" si="2"/>
        <v>0</v>
      </c>
      <c r="P115" s="207"/>
    </row>
    <row r="116" spans="1:16" s="43" customFormat="1" ht="15" customHeight="1" x14ac:dyDescent="0.25">
      <c r="A116" s="215"/>
      <c r="B116" s="215"/>
      <c r="C116" s="138" t="s">
        <v>19</v>
      </c>
      <c r="D116" s="93">
        <f>SUMIF('Salários e Custos'!C:C,'Produto 2 - Cálculo Esforço'!$C116,'Salários e Custos'!F:F)</f>
        <v>8882.5</v>
      </c>
      <c r="E116" s="89"/>
      <c r="F116" s="139">
        <v>2</v>
      </c>
      <c r="G116" s="92">
        <f t="shared" si="0"/>
        <v>807.5</v>
      </c>
      <c r="H116" s="207"/>
      <c r="I116" s="89"/>
      <c r="J116" s="138">
        <v>2</v>
      </c>
      <c r="K116" s="93">
        <f t="shared" si="1"/>
        <v>807.5</v>
      </c>
      <c r="L116" s="208"/>
      <c r="M116" s="89"/>
      <c r="N116" s="139"/>
      <c r="O116" s="92">
        <f t="shared" si="2"/>
        <v>0</v>
      </c>
      <c r="P116" s="207"/>
    </row>
    <row r="117" spans="1:16" s="43" customFormat="1" ht="15.75" customHeight="1" x14ac:dyDescent="0.25">
      <c r="A117" s="215"/>
      <c r="B117" s="215"/>
      <c r="C117" s="138" t="s">
        <v>29</v>
      </c>
      <c r="D117" s="93">
        <f>SUMIF('Salários e Custos'!C:C,'Produto 2 - Cálculo Esforço'!$C117,'Salários e Custos'!F:F)</f>
        <v>3044.5</v>
      </c>
      <c r="E117" s="89"/>
      <c r="F117" s="139">
        <v>2</v>
      </c>
      <c r="G117" s="92">
        <f t="shared" si="0"/>
        <v>276.77</v>
      </c>
      <c r="H117" s="207"/>
      <c r="I117" s="89"/>
      <c r="J117" s="138">
        <v>2</v>
      </c>
      <c r="K117" s="93">
        <f t="shared" si="1"/>
        <v>276.77</v>
      </c>
      <c r="L117" s="208"/>
      <c r="M117" s="89"/>
      <c r="N117" s="139"/>
      <c r="O117" s="92">
        <f t="shared" si="2"/>
        <v>0</v>
      </c>
      <c r="P117" s="207"/>
    </row>
    <row r="118" spans="1:16" s="43" customFormat="1" ht="15" customHeight="1" x14ac:dyDescent="0.25">
      <c r="A118" s="215"/>
      <c r="B118" s="215" t="s">
        <v>152</v>
      </c>
      <c r="C118" s="138" t="s">
        <v>16</v>
      </c>
      <c r="D118" s="93">
        <f>SUMIF('Salários e Custos'!C:C,'Produto 2 - Cálculo Esforço'!$C118,'Salários e Custos'!F:F)</f>
        <v>14505.08</v>
      </c>
      <c r="E118" s="89"/>
      <c r="F118" s="139"/>
      <c r="G118" s="92">
        <f t="shared" si="0"/>
        <v>0</v>
      </c>
      <c r="H118" s="207">
        <f>SUM(G118:G121)</f>
        <v>0</v>
      </c>
      <c r="I118" s="89"/>
      <c r="J118" s="138">
        <v>1</v>
      </c>
      <c r="K118" s="93">
        <f t="shared" si="1"/>
        <v>659.32</v>
      </c>
      <c r="L118" s="208">
        <f>SUM(K118:K121)</f>
        <v>7575.43</v>
      </c>
      <c r="M118" s="89"/>
      <c r="N118" s="139">
        <v>1</v>
      </c>
      <c r="O118" s="92">
        <f t="shared" si="2"/>
        <v>659.32</v>
      </c>
      <c r="P118" s="207">
        <f>SUM(O118:O121)</f>
        <v>7575.43</v>
      </c>
    </row>
    <row r="119" spans="1:16" s="43" customFormat="1" ht="15" customHeight="1" x14ac:dyDescent="0.25">
      <c r="A119" s="215"/>
      <c r="B119" s="215"/>
      <c r="C119" s="138" t="s">
        <v>17</v>
      </c>
      <c r="D119" s="93">
        <f>SUMIF('Salários e Custos'!C:C,'Produto 2 - Cálculo Esforço'!$C119,'Salários e Custos'!F:F)</f>
        <v>11347.68</v>
      </c>
      <c r="E119" s="89"/>
      <c r="F119" s="139"/>
      <c r="G119" s="92">
        <f t="shared" si="0"/>
        <v>0</v>
      </c>
      <c r="H119" s="207"/>
      <c r="I119" s="89"/>
      <c r="J119" s="138">
        <v>5</v>
      </c>
      <c r="K119" s="93">
        <f t="shared" si="1"/>
        <v>2579.02</v>
      </c>
      <c r="L119" s="208"/>
      <c r="M119" s="89"/>
      <c r="N119" s="139">
        <v>5</v>
      </c>
      <c r="O119" s="92">
        <f t="shared" si="2"/>
        <v>2579.02</v>
      </c>
      <c r="P119" s="207"/>
    </row>
    <row r="120" spans="1:16" s="43" customFormat="1" ht="15" customHeight="1" x14ac:dyDescent="0.25">
      <c r="A120" s="215"/>
      <c r="B120" s="215"/>
      <c r="C120" s="138" t="s">
        <v>19</v>
      </c>
      <c r="D120" s="93">
        <f>SUMIF('Salários e Custos'!C:C,'Produto 2 - Cálculo Esforço'!$C120,'Salários e Custos'!F:F)</f>
        <v>8882.5</v>
      </c>
      <c r="E120" s="89"/>
      <c r="F120" s="139"/>
      <c r="G120" s="92">
        <f t="shared" si="0"/>
        <v>0</v>
      </c>
      <c r="H120" s="207"/>
      <c r="I120" s="89"/>
      <c r="J120" s="138">
        <v>8</v>
      </c>
      <c r="K120" s="93">
        <f t="shared" si="1"/>
        <v>3230</v>
      </c>
      <c r="L120" s="208"/>
      <c r="M120" s="89"/>
      <c r="N120" s="139">
        <v>8</v>
      </c>
      <c r="O120" s="92">
        <f t="shared" si="2"/>
        <v>3230</v>
      </c>
      <c r="P120" s="207"/>
    </row>
    <row r="121" spans="1:16" s="43" customFormat="1" ht="15.75" customHeight="1" x14ac:dyDescent="0.25">
      <c r="A121" s="215"/>
      <c r="B121" s="215"/>
      <c r="C121" s="138" t="s">
        <v>29</v>
      </c>
      <c r="D121" s="93">
        <f>SUMIF('Salários e Custos'!C:C,'Produto 2 - Cálculo Esforço'!$C121,'Salários e Custos'!F:F)</f>
        <v>3044.5</v>
      </c>
      <c r="E121" s="89"/>
      <c r="F121" s="139"/>
      <c r="G121" s="92">
        <f t="shared" si="0"/>
        <v>0</v>
      </c>
      <c r="H121" s="207"/>
      <c r="I121" s="89"/>
      <c r="J121" s="138">
        <v>8</v>
      </c>
      <c r="K121" s="93">
        <f t="shared" si="1"/>
        <v>1107.0899999999999</v>
      </c>
      <c r="L121" s="208"/>
      <c r="M121" s="89"/>
      <c r="N121" s="139">
        <v>8</v>
      </c>
      <c r="O121" s="92">
        <f t="shared" si="2"/>
        <v>1107.0899999999999</v>
      </c>
      <c r="P121" s="207"/>
    </row>
    <row r="122" spans="1:16" s="43" customFormat="1" ht="15" customHeight="1" x14ac:dyDescent="0.25">
      <c r="A122" s="215"/>
      <c r="B122" s="215" t="s">
        <v>184</v>
      </c>
      <c r="C122" s="138" t="s">
        <v>16</v>
      </c>
      <c r="D122" s="93">
        <f>SUMIF('Salários e Custos'!C:C,'Produto 2 - Cálculo Esforço'!$C122,'Salários e Custos'!F:F)</f>
        <v>14505.08</v>
      </c>
      <c r="E122" s="89"/>
      <c r="F122" s="139">
        <v>1</v>
      </c>
      <c r="G122" s="92">
        <f t="shared" ref="G122:G145" si="8">ROUND(+$D122*F122/$B$11,2)</f>
        <v>659.32</v>
      </c>
      <c r="H122" s="207">
        <f>SUM(G122:G125)</f>
        <v>1870.5700000000002</v>
      </c>
      <c r="I122" s="89"/>
      <c r="J122" s="138">
        <v>1</v>
      </c>
      <c r="K122" s="93">
        <f t="shared" ref="K122:K145" si="9">ROUND(+$D122*J122/$B$11,2)</f>
        <v>659.32</v>
      </c>
      <c r="L122" s="208">
        <f>SUM(K122:K125)</f>
        <v>1870.5700000000002</v>
      </c>
      <c r="M122" s="89"/>
      <c r="N122" s="139">
        <v>1</v>
      </c>
      <c r="O122" s="92">
        <f t="shared" ref="O122:O145" si="10">ROUND(+$D122*N122/$B$11,2)</f>
        <v>659.32</v>
      </c>
      <c r="P122" s="207">
        <f>SUM(O122:O125)</f>
        <v>1870.5700000000002</v>
      </c>
    </row>
    <row r="123" spans="1:16" s="43" customFormat="1" ht="15" customHeight="1" x14ac:dyDescent="0.25">
      <c r="A123" s="215"/>
      <c r="B123" s="215"/>
      <c r="C123" s="138" t="s">
        <v>19</v>
      </c>
      <c r="D123" s="93">
        <f>SUMIF('Salários e Custos'!C:C,'Produto 2 - Cálculo Esforço'!$C123,'Salários e Custos'!F:F)</f>
        <v>8882.5</v>
      </c>
      <c r="E123" s="89"/>
      <c r="F123" s="139">
        <v>3</v>
      </c>
      <c r="G123" s="92">
        <f t="shared" si="8"/>
        <v>1211.25</v>
      </c>
      <c r="H123" s="207"/>
      <c r="I123" s="89"/>
      <c r="J123" s="139">
        <v>3</v>
      </c>
      <c r="K123" s="92">
        <f t="shared" si="9"/>
        <v>1211.25</v>
      </c>
      <c r="L123" s="208"/>
      <c r="M123" s="89"/>
      <c r="N123" s="139">
        <v>3</v>
      </c>
      <c r="O123" s="92">
        <f t="shared" si="10"/>
        <v>1211.25</v>
      </c>
      <c r="P123" s="207"/>
    </row>
    <row r="124" spans="1:16" s="43" customFormat="1" ht="15" customHeight="1" x14ac:dyDescent="0.25">
      <c r="A124" s="215"/>
      <c r="B124" s="215"/>
      <c r="C124" s="138"/>
      <c r="D124" s="93">
        <f>SUMIF('Salários e Custos'!C:C,'Produto 2 - Cálculo Esforço'!$C124,'Salários e Custos'!F:F)</f>
        <v>0</v>
      </c>
      <c r="E124" s="89"/>
      <c r="F124" s="139"/>
      <c r="G124" s="92">
        <f t="shared" si="8"/>
        <v>0</v>
      </c>
      <c r="H124" s="207"/>
      <c r="I124" s="89"/>
      <c r="J124" s="139"/>
      <c r="K124" s="92">
        <f t="shared" si="9"/>
        <v>0</v>
      </c>
      <c r="L124" s="208"/>
      <c r="M124" s="89"/>
      <c r="N124" s="139"/>
      <c r="O124" s="92">
        <f t="shared" si="10"/>
        <v>0</v>
      </c>
      <c r="P124" s="207"/>
    </row>
    <row r="125" spans="1:16" s="43" customFormat="1" ht="15" customHeight="1" x14ac:dyDescent="0.25">
      <c r="A125" s="215"/>
      <c r="B125" s="215"/>
      <c r="C125" s="138"/>
      <c r="D125" s="93">
        <f>SUMIF('Salários e Custos'!C:C,'Produto 2 - Cálculo Esforço'!$C125,'Salários e Custos'!F:F)</f>
        <v>0</v>
      </c>
      <c r="E125" s="89"/>
      <c r="F125" s="139"/>
      <c r="G125" s="92">
        <f t="shared" si="8"/>
        <v>0</v>
      </c>
      <c r="H125" s="207"/>
      <c r="I125" s="89"/>
      <c r="J125" s="138"/>
      <c r="K125" s="93">
        <f t="shared" si="9"/>
        <v>0</v>
      </c>
      <c r="L125" s="208"/>
      <c r="M125" s="89"/>
      <c r="N125" s="139"/>
      <c r="O125" s="92">
        <f t="shared" si="10"/>
        <v>0</v>
      </c>
      <c r="P125" s="207"/>
    </row>
    <row r="126" spans="1:16" s="43" customFormat="1" ht="15" customHeight="1" x14ac:dyDescent="0.25">
      <c r="A126" s="215"/>
      <c r="B126" s="215" t="s">
        <v>154</v>
      </c>
      <c r="C126" s="138" t="s">
        <v>16</v>
      </c>
      <c r="D126" s="93">
        <f>SUMIF('Salários e Custos'!C:C,'Produto 2 - Cálculo Esforço'!$C126,'Salários e Custos'!F:F)</f>
        <v>14505.08</v>
      </c>
      <c r="E126" s="89"/>
      <c r="F126" s="139">
        <v>1</v>
      </c>
      <c r="G126" s="92">
        <f t="shared" si="8"/>
        <v>659.32</v>
      </c>
      <c r="H126" s="207">
        <f>SUM(G126:G129)</f>
        <v>3594.1099999999997</v>
      </c>
      <c r="I126" s="89"/>
      <c r="J126" s="138">
        <v>1</v>
      </c>
      <c r="K126" s="93">
        <f t="shared" si="9"/>
        <v>659.32</v>
      </c>
      <c r="L126" s="208">
        <f>SUM(K126:K129)</f>
        <v>3594.1099999999997</v>
      </c>
      <c r="M126" s="89"/>
      <c r="N126" s="139">
        <v>1</v>
      </c>
      <c r="O126" s="92">
        <f t="shared" si="10"/>
        <v>659.32</v>
      </c>
      <c r="P126" s="207">
        <f>SUM(O126:O129)</f>
        <v>3594.1099999999997</v>
      </c>
    </row>
    <row r="127" spans="1:16" s="43" customFormat="1" ht="15" customHeight="1" x14ac:dyDescent="0.25">
      <c r="A127" s="215"/>
      <c r="B127" s="215"/>
      <c r="C127" s="138" t="s">
        <v>17</v>
      </c>
      <c r="D127" s="93">
        <f>SUMIF('Salários e Custos'!C:C,'Produto 2 - Cálculo Esforço'!$C127,'Salários e Custos'!F:F)</f>
        <v>11347.68</v>
      </c>
      <c r="E127" s="89"/>
      <c r="F127" s="139">
        <v>2</v>
      </c>
      <c r="G127" s="92">
        <f t="shared" si="8"/>
        <v>1031.6099999999999</v>
      </c>
      <c r="H127" s="207"/>
      <c r="I127" s="89"/>
      <c r="J127" s="138">
        <v>2</v>
      </c>
      <c r="K127" s="93">
        <f t="shared" si="9"/>
        <v>1031.6099999999999</v>
      </c>
      <c r="L127" s="208"/>
      <c r="M127" s="89"/>
      <c r="N127" s="139">
        <v>2</v>
      </c>
      <c r="O127" s="92">
        <f t="shared" si="10"/>
        <v>1031.6099999999999</v>
      </c>
      <c r="P127" s="207"/>
    </row>
    <row r="128" spans="1:16" s="43" customFormat="1" ht="15" customHeight="1" x14ac:dyDescent="0.25">
      <c r="A128" s="215"/>
      <c r="B128" s="215"/>
      <c r="C128" s="138" t="s">
        <v>19</v>
      </c>
      <c r="D128" s="93">
        <f>SUMIF('Salários e Custos'!C:C,'Produto 2 - Cálculo Esforço'!$C128,'Salários e Custos'!F:F)</f>
        <v>8882.5</v>
      </c>
      <c r="E128" s="89"/>
      <c r="F128" s="139">
        <v>3</v>
      </c>
      <c r="G128" s="92">
        <f t="shared" si="8"/>
        <v>1211.25</v>
      </c>
      <c r="H128" s="207"/>
      <c r="I128" s="89"/>
      <c r="J128" s="138">
        <v>3</v>
      </c>
      <c r="K128" s="93">
        <f t="shared" si="9"/>
        <v>1211.25</v>
      </c>
      <c r="L128" s="208"/>
      <c r="M128" s="89"/>
      <c r="N128" s="139">
        <v>3</v>
      </c>
      <c r="O128" s="92">
        <f t="shared" si="10"/>
        <v>1211.25</v>
      </c>
      <c r="P128" s="207"/>
    </row>
    <row r="129" spans="1:16" s="43" customFormat="1" ht="15.75" customHeight="1" x14ac:dyDescent="0.25">
      <c r="A129" s="215"/>
      <c r="B129" s="215"/>
      <c r="C129" s="138" t="s">
        <v>29</v>
      </c>
      <c r="D129" s="93">
        <f>SUMIF('Salários e Custos'!C:C,'Produto 2 - Cálculo Esforço'!$C129,'Salários e Custos'!F:F)</f>
        <v>3044.5</v>
      </c>
      <c r="E129" s="89"/>
      <c r="F129" s="139">
        <v>5</v>
      </c>
      <c r="G129" s="92">
        <f t="shared" si="8"/>
        <v>691.93</v>
      </c>
      <c r="H129" s="207"/>
      <c r="I129" s="89"/>
      <c r="J129" s="138">
        <v>5</v>
      </c>
      <c r="K129" s="93">
        <f t="shared" si="9"/>
        <v>691.93</v>
      </c>
      <c r="L129" s="208"/>
      <c r="M129" s="89"/>
      <c r="N129" s="139">
        <v>5</v>
      </c>
      <c r="O129" s="92">
        <f t="shared" si="10"/>
        <v>691.93</v>
      </c>
      <c r="P129" s="207"/>
    </row>
    <row r="130" spans="1:16" s="43" customFormat="1" ht="15" customHeight="1" x14ac:dyDescent="0.25">
      <c r="A130" s="211" t="s">
        <v>159</v>
      </c>
      <c r="B130" s="211"/>
      <c r="C130" s="138" t="s">
        <v>16</v>
      </c>
      <c r="D130" s="93">
        <f>SUMIF('Salários e Custos'!C:C,'Produto 2 - Cálculo Esforço'!$C130,'Salários e Custos'!F:F)</f>
        <v>14505.08</v>
      </c>
      <c r="E130" s="89"/>
      <c r="F130" s="139">
        <v>3</v>
      </c>
      <c r="G130" s="92">
        <f t="shared" si="8"/>
        <v>1977.97</v>
      </c>
      <c r="H130" s="207">
        <f>SUM(G130:G133)</f>
        <v>4099.75</v>
      </c>
      <c r="I130" s="89"/>
      <c r="J130" s="138">
        <v>3</v>
      </c>
      <c r="K130" s="93">
        <f t="shared" si="9"/>
        <v>1977.97</v>
      </c>
      <c r="L130" s="208">
        <f>SUM(K130:K133)</f>
        <v>4099.75</v>
      </c>
      <c r="M130" s="89"/>
      <c r="N130" s="139">
        <v>2</v>
      </c>
      <c r="O130" s="92">
        <f t="shared" si="10"/>
        <v>1318.64</v>
      </c>
      <c r="P130" s="207">
        <f>SUM(O130:O133)</f>
        <v>3440.42</v>
      </c>
    </row>
    <row r="131" spans="1:16" s="43" customFormat="1" ht="15" customHeight="1" x14ac:dyDescent="0.25">
      <c r="A131" s="211"/>
      <c r="B131" s="211"/>
      <c r="C131" s="138" t="s">
        <v>18</v>
      </c>
      <c r="D131" s="93">
        <f>SUMIF('Salários e Custos'!C:C,'Produto 2 - Cálculo Esforço'!$C131,'Salários e Custos'!F:F)</f>
        <v>9335.82</v>
      </c>
      <c r="E131" s="89"/>
      <c r="F131" s="139">
        <v>5</v>
      </c>
      <c r="G131" s="92">
        <f t="shared" si="8"/>
        <v>2121.7800000000002</v>
      </c>
      <c r="H131" s="207"/>
      <c r="I131" s="89"/>
      <c r="J131" s="139">
        <v>5</v>
      </c>
      <c r="K131" s="92">
        <f t="shared" si="9"/>
        <v>2121.7800000000002</v>
      </c>
      <c r="L131" s="208"/>
      <c r="M131" s="89"/>
      <c r="N131" s="139">
        <v>5</v>
      </c>
      <c r="O131" s="92">
        <f t="shared" si="10"/>
        <v>2121.7800000000002</v>
      </c>
      <c r="P131" s="207"/>
    </row>
    <row r="132" spans="1:16" s="43" customFormat="1" ht="15" customHeight="1" x14ac:dyDescent="0.25">
      <c r="A132" s="211"/>
      <c r="B132" s="211"/>
      <c r="C132" s="138"/>
      <c r="D132" s="93">
        <f>SUMIF('Salários e Custos'!C:C,'Produto 2 - Cálculo Esforço'!$C132,'Salários e Custos'!F:F)</f>
        <v>0</v>
      </c>
      <c r="E132" s="89"/>
      <c r="F132" s="139"/>
      <c r="G132" s="92">
        <f t="shared" si="8"/>
        <v>0</v>
      </c>
      <c r="H132" s="207"/>
      <c r="I132" s="89"/>
      <c r="J132" s="139"/>
      <c r="K132" s="92">
        <f t="shared" si="9"/>
        <v>0</v>
      </c>
      <c r="L132" s="208"/>
      <c r="M132" s="89"/>
      <c r="N132" s="139"/>
      <c r="O132" s="92">
        <f t="shared" si="10"/>
        <v>0</v>
      </c>
      <c r="P132" s="207"/>
    </row>
    <row r="133" spans="1:16" s="43" customFormat="1" ht="15" customHeight="1" x14ac:dyDescent="0.25">
      <c r="A133" s="211"/>
      <c r="B133" s="211"/>
      <c r="C133" s="138"/>
      <c r="D133" s="93">
        <f>SUMIF('Salários e Custos'!C:C,'Produto 2 - Cálculo Esforço'!$C133,'Salários e Custos'!F:F)</f>
        <v>0</v>
      </c>
      <c r="E133" s="89"/>
      <c r="F133" s="139"/>
      <c r="G133" s="92">
        <f t="shared" si="8"/>
        <v>0</v>
      </c>
      <c r="H133" s="207"/>
      <c r="I133" s="89"/>
      <c r="J133" s="138"/>
      <c r="K133" s="93">
        <f t="shared" si="9"/>
        <v>0</v>
      </c>
      <c r="L133" s="208"/>
      <c r="M133" s="89"/>
      <c r="N133" s="139"/>
      <c r="O133" s="92">
        <f t="shared" si="10"/>
        <v>0</v>
      </c>
      <c r="P133" s="207"/>
    </row>
    <row r="134" spans="1:16" s="43" customFormat="1" ht="15" customHeight="1" x14ac:dyDescent="0.25">
      <c r="A134" s="211" t="s">
        <v>192</v>
      </c>
      <c r="B134" s="211"/>
      <c r="C134" s="138" t="s">
        <v>16</v>
      </c>
      <c r="D134" s="93">
        <f>SUMIF('Salários e Custos'!C:C,'Produto 2 - Cálculo Esforço'!$C134,'Salários e Custos'!F:F)</f>
        <v>14505.08</v>
      </c>
      <c r="E134" s="89"/>
      <c r="F134" s="139">
        <v>2</v>
      </c>
      <c r="G134" s="92">
        <f t="shared" si="8"/>
        <v>1318.64</v>
      </c>
      <c r="H134" s="207">
        <f>SUM(G134:G137)</f>
        <v>3016.0600000000004</v>
      </c>
      <c r="I134" s="89"/>
      <c r="J134" s="138">
        <v>4</v>
      </c>
      <c r="K134" s="93">
        <f t="shared" si="9"/>
        <v>2637.29</v>
      </c>
      <c r="L134" s="208">
        <f>SUM(K134:K137)</f>
        <v>4759.07</v>
      </c>
      <c r="M134" s="89"/>
      <c r="N134" s="139">
        <v>3</v>
      </c>
      <c r="O134" s="92">
        <f t="shared" si="10"/>
        <v>1977.97</v>
      </c>
      <c r="P134" s="207">
        <f>SUM(O134:O137)</f>
        <v>3675.3900000000003</v>
      </c>
    </row>
    <row r="135" spans="1:16" s="43" customFormat="1" ht="15" customHeight="1" x14ac:dyDescent="0.25">
      <c r="A135" s="211"/>
      <c r="B135" s="211"/>
      <c r="C135" s="138" t="s">
        <v>18</v>
      </c>
      <c r="D135" s="93">
        <f>SUMIF('Salários e Custos'!C:C,'Produto 2 - Cálculo Esforço'!$C135,'Salários e Custos'!F:F)</f>
        <v>9335.82</v>
      </c>
      <c r="E135" s="89"/>
      <c r="F135" s="139">
        <v>4</v>
      </c>
      <c r="G135" s="92">
        <f t="shared" si="8"/>
        <v>1697.42</v>
      </c>
      <c r="H135" s="207"/>
      <c r="I135" s="89"/>
      <c r="J135" s="139">
        <v>5</v>
      </c>
      <c r="K135" s="92">
        <f t="shared" si="9"/>
        <v>2121.7800000000002</v>
      </c>
      <c r="L135" s="208"/>
      <c r="M135" s="89"/>
      <c r="N135" s="139">
        <v>4</v>
      </c>
      <c r="O135" s="92">
        <f t="shared" si="10"/>
        <v>1697.42</v>
      </c>
      <c r="P135" s="207"/>
    </row>
    <row r="136" spans="1:16" s="43" customFormat="1" ht="15" customHeight="1" x14ac:dyDescent="0.25">
      <c r="A136" s="211"/>
      <c r="B136" s="211"/>
      <c r="C136" s="138"/>
      <c r="D136" s="93">
        <f>SUMIF('Salários e Custos'!C:C,'Produto 2 - Cálculo Esforço'!$C136,'Salários e Custos'!F:F)</f>
        <v>0</v>
      </c>
      <c r="E136" s="89"/>
      <c r="F136" s="139"/>
      <c r="G136" s="92">
        <f t="shared" si="8"/>
        <v>0</v>
      </c>
      <c r="H136" s="207"/>
      <c r="I136" s="89"/>
      <c r="J136" s="139"/>
      <c r="K136" s="92">
        <f t="shared" si="9"/>
        <v>0</v>
      </c>
      <c r="L136" s="208"/>
      <c r="M136" s="89"/>
      <c r="N136" s="139"/>
      <c r="O136" s="92">
        <f t="shared" si="10"/>
        <v>0</v>
      </c>
      <c r="P136" s="207"/>
    </row>
    <row r="137" spans="1:16" s="43" customFormat="1" ht="15" customHeight="1" x14ac:dyDescent="0.25">
      <c r="A137" s="211"/>
      <c r="B137" s="211"/>
      <c r="C137" s="138"/>
      <c r="D137" s="93">
        <f>SUMIF('Salários e Custos'!C:C,'Produto 2 - Cálculo Esforço'!$C137,'Salários e Custos'!F:F)</f>
        <v>0</v>
      </c>
      <c r="E137" s="89"/>
      <c r="F137" s="139"/>
      <c r="G137" s="92">
        <f t="shared" si="8"/>
        <v>0</v>
      </c>
      <c r="H137" s="207"/>
      <c r="I137" s="89"/>
      <c r="J137" s="138"/>
      <c r="K137" s="93">
        <f t="shared" si="9"/>
        <v>0</v>
      </c>
      <c r="L137" s="208"/>
      <c r="M137" s="89"/>
      <c r="N137" s="139"/>
      <c r="O137" s="92">
        <f t="shared" si="10"/>
        <v>0</v>
      </c>
      <c r="P137" s="207"/>
    </row>
    <row r="138" spans="1:16" s="43" customFormat="1" ht="15" customHeight="1" x14ac:dyDescent="0.25">
      <c r="A138" s="211" t="s">
        <v>160</v>
      </c>
      <c r="B138" s="211"/>
      <c r="C138" s="138" t="s">
        <v>16</v>
      </c>
      <c r="D138" s="93">
        <f>SUMIF('Salários e Custos'!C:C,'Produto 2 - Cálculo Esforço'!$C138,'Salários e Custos'!F:F)</f>
        <v>14505.08</v>
      </c>
      <c r="E138" s="89"/>
      <c r="F138" s="139">
        <v>5</v>
      </c>
      <c r="G138" s="92">
        <f t="shared" si="8"/>
        <v>3296.61</v>
      </c>
      <c r="H138" s="207">
        <f>SUM(G138:G141)</f>
        <v>6691.4500000000007</v>
      </c>
      <c r="I138" s="89"/>
      <c r="J138" s="138">
        <v>5</v>
      </c>
      <c r="K138" s="93">
        <f t="shared" si="9"/>
        <v>3296.61</v>
      </c>
      <c r="L138" s="208">
        <f>SUM(K138:K141)</f>
        <v>7540.16</v>
      </c>
      <c r="M138" s="89"/>
      <c r="N138" s="139">
        <v>3</v>
      </c>
      <c r="O138" s="92">
        <f t="shared" si="10"/>
        <v>1977.97</v>
      </c>
      <c r="P138" s="207">
        <f>SUM(O138:O141)</f>
        <v>4948.46</v>
      </c>
    </row>
    <row r="139" spans="1:16" s="43" customFormat="1" ht="15" customHeight="1" x14ac:dyDescent="0.25">
      <c r="A139" s="211"/>
      <c r="B139" s="211"/>
      <c r="C139" s="138" t="s">
        <v>18</v>
      </c>
      <c r="D139" s="93">
        <f>SUMIF('Salários e Custos'!C:C,'Produto 2 - Cálculo Esforço'!$C139,'Salários e Custos'!F:F)</f>
        <v>9335.82</v>
      </c>
      <c r="E139" s="89"/>
      <c r="F139" s="139">
        <v>8</v>
      </c>
      <c r="G139" s="92">
        <f t="shared" si="8"/>
        <v>3394.84</v>
      </c>
      <c r="H139" s="207"/>
      <c r="I139" s="89"/>
      <c r="J139" s="139">
        <v>10</v>
      </c>
      <c r="K139" s="92">
        <f t="shared" si="9"/>
        <v>4243.55</v>
      </c>
      <c r="L139" s="208"/>
      <c r="M139" s="89"/>
      <c r="N139" s="139">
        <v>7</v>
      </c>
      <c r="O139" s="92">
        <f t="shared" si="10"/>
        <v>2970.49</v>
      </c>
      <c r="P139" s="207"/>
    </row>
    <row r="140" spans="1:16" s="43" customFormat="1" ht="15" customHeight="1" x14ac:dyDescent="0.25">
      <c r="A140" s="211"/>
      <c r="B140" s="211"/>
      <c r="C140" s="138"/>
      <c r="D140" s="93">
        <f>SUMIF('Salários e Custos'!C:C,'Produto 2 - Cálculo Esforço'!$C140,'Salários e Custos'!F:F)</f>
        <v>0</v>
      </c>
      <c r="E140" s="89"/>
      <c r="F140" s="139"/>
      <c r="G140" s="92">
        <f t="shared" si="8"/>
        <v>0</v>
      </c>
      <c r="H140" s="207"/>
      <c r="I140" s="89"/>
      <c r="J140" s="139"/>
      <c r="K140" s="92">
        <f t="shared" si="9"/>
        <v>0</v>
      </c>
      <c r="L140" s="208"/>
      <c r="M140" s="89"/>
      <c r="N140" s="139"/>
      <c r="O140" s="92">
        <f t="shared" si="10"/>
        <v>0</v>
      </c>
      <c r="P140" s="207"/>
    </row>
    <row r="141" spans="1:16" s="43" customFormat="1" ht="15" customHeight="1" x14ac:dyDescent="0.25">
      <c r="A141" s="211"/>
      <c r="B141" s="211"/>
      <c r="C141" s="138"/>
      <c r="D141" s="93">
        <f>SUMIF('Salários e Custos'!C:C,'Produto 2 - Cálculo Esforço'!$C141,'Salários e Custos'!F:F)</f>
        <v>0</v>
      </c>
      <c r="E141" s="89"/>
      <c r="F141" s="139"/>
      <c r="G141" s="92">
        <f t="shared" si="8"/>
        <v>0</v>
      </c>
      <c r="H141" s="207"/>
      <c r="I141" s="89"/>
      <c r="J141" s="138"/>
      <c r="K141" s="93">
        <f t="shared" si="9"/>
        <v>0</v>
      </c>
      <c r="L141" s="208"/>
      <c r="M141" s="89"/>
      <c r="N141" s="139"/>
      <c r="O141" s="92">
        <f t="shared" si="10"/>
        <v>0</v>
      </c>
      <c r="P141" s="207"/>
    </row>
    <row r="142" spans="1:16" s="43" customFormat="1" x14ac:dyDescent="0.25">
      <c r="A142" s="211" t="s">
        <v>161</v>
      </c>
      <c r="B142" s="211"/>
      <c r="C142" s="138" t="s">
        <v>16</v>
      </c>
      <c r="D142" s="93">
        <f>SUMIF('Salários e Custos'!C:C,'Produto 2 - Cálculo Esforço'!$C142,'Salários e Custos'!F:F)</f>
        <v>14505.08</v>
      </c>
      <c r="E142" s="89"/>
      <c r="F142" s="139">
        <v>3</v>
      </c>
      <c r="G142" s="92">
        <f t="shared" si="8"/>
        <v>1977.97</v>
      </c>
      <c r="H142" s="207">
        <f>SUM(G142:G145)</f>
        <v>6015.47</v>
      </c>
      <c r="I142" s="89"/>
      <c r="J142" s="138">
        <v>3</v>
      </c>
      <c r="K142" s="93">
        <f t="shared" si="9"/>
        <v>1977.97</v>
      </c>
      <c r="L142" s="208">
        <f>SUM(K142:K145)</f>
        <v>6015.47</v>
      </c>
      <c r="M142" s="89"/>
      <c r="N142" s="139">
        <v>3</v>
      </c>
      <c r="O142" s="92">
        <f t="shared" si="10"/>
        <v>1977.97</v>
      </c>
      <c r="P142" s="207">
        <f>SUM(O142:O145)</f>
        <v>6015.47</v>
      </c>
    </row>
    <row r="143" spans="1:16" s="43" customFormat="1" x14ac:dyDescent="0.25">
      <c r="A143" s="211"/>
      <c r="B143" s="211"/>
      <c r="C143" s="138" t="s">
        <v>19</v>
      </c>
      <c r="D143" s="93">
        <f>SUMIF('Salários e Custos'!C:C,'Produto 2 - Cálculo Esforço'!$C143,'Salários e Custos'!F:F)</f>
        <v>8882.5</v>
      </c>
      <c r="E143" s="89"/>
      <c r="F143" s="139">
        <v>10</v>
      </c>
      <c r="G143" s="92">
        <f t="shared" si="8"/>
        <v>4037.5</v>
      </c>
      <c r="H143" s="207"/>
      <c r="I143" s="89"/>
      <c r="J143" s="139">
        <v>10</v>
      </c>
      <c r="K143" s="92">
        <f t="shared" si="9"/>
        <v>4037.5</v>
      </c>
      <c r="L143" s="208"/>
      <c r="M143" s="89"/>
      <c r="N143" s="139">
        <v>10</v>
      </c>
      <c r="O143" s="92">
        <f t="shared" si="10"/>
        <v>4037.5</v>
      </c>
      <c r="P143" s="207"/>
    </row>
    <row r="144" spans="1:16" s="43" customFormat="1" x14ac:dyDescent="0.25">
      <c r="A144" s="211"/>
      <c r="B144" s="211"/>
      <c r="C144" s="138"/>
      <c r="D144" s="93">
        <f>SUMIF('Salários e Custos'!C:C,'Produto 2 - Cálculo Esforço'!$C144,'Salários e Custos'!F:F)</f>
        <v>0</v>
      </c>
      <c r="E144" s="89"/>
      <c r="F144" s="139"/>
      <c r="G144" s="92">
        <f t="shared" si="8"/>
        <v>0</v>
      </c>
      <c r="H144" s="207"/>
      <c r="I144" s="89"/>
      <c r="J144" s="139"/>
      <c r="K144" s="92">
        <f t="shared" si="9"/>
        <v>0</v>
      </c>
      <c r="L144" s="208"/>
      <c r="M144" s="89"/>
      <c r="N144" s="139"/>
      <c r="O144" s="92">
        <f t="shared" si="10"/>
        <v>0</v>
      </c>
      <c r="P144" s="207"/>
    </row>
    <row r="145" spans="1:17" s="43" customFormat="1" x14ac:dyDescent="0.25">
      <c r="A145" s="211"/>
      <c r="B145" s="211"/>
      <c r="C145" s="138"/>
      <c r="D145" s="93">
        <f>SUMIF('Salários e Custos'!C:C,'Produto 2 - Cálculo Esforço'!$C145,'Salários e Custos'!F:F)</f>
        <v>0</v>
      </c>
      <c r="E145" s="89"/>
      <c r="F145" s="139"/>
      <c r="G145" s="92">
        <f t="shared" si="8"/>
        <v>0</v>
      </c>
      <c r="H145" s="207"/>
      <c r="I145" s="89"/>
      <c r="J145" s="138"/>
      <c r="K145" s="93">
        <f t="shared" si="9"/>
        <v>0</v>
      </c>
      <c r="L145" s="208"/>
      <c r="M145" s="89"/>
      <c r="N145" s="139"/>
      <c r="O145" s="92">
        <f t="shared" si="10"/>
        <v>0</v>
      </c>
      <c r="P145" s="207"/>
    </row>
    <row r="147" spans="1:17" x14ac:dyDescent="0.25">
      <c r="Q147" s="49"/>
    </row>
    <row r="154" spans="1:17" x14ac:dyDescent="0.25">
      <c r="Q154" s="49"/>
    </row>
  </sheetData>
  <sheetProtection password="CC51" sheet="1" objects="1" scenarios="1"/>
  <mergeCells count="146">
    <mergeCell ref="A2:P2"/>
    <mergeCell ref="A3:P3"/>
    <mergeCell ref="A5:D5"/>
    <mergeCell ref="B30:B33"/>
    <mergeCell ref="H30:H33"/>
    <mergeCell ref="L30:L33"/>
    <mergeCell ref="P30:P33"/>
    <mergeCell ref="B34:B37"/>
    <mergeCell ref="H34:H37"/>
    <mergeCell ref="L34:L37"/>
    <mergeCell ref="P34:P37"/>
    <mergeCell ref="A14:A49"/>
    <mergeCell ref="B46:B49"/>
    <mergeCell ref="B42:B45"/>
    <mergeCell ref="H38:H41"/>
    <mergeCell ref="H42:H45"/>
    <mergeCell ref="H46:H49"/>
    <mergeCell ref="L46:L49"/>
    <mergeCell ref="L42:L45"/>
    <mergeCell ref="L38:L41"/>
    <mergeCell ref="P38:P41"/>
    <mergeCell ref="P42:P45"/>
    <mergeCell ref="P46:P49"/>
    <mergeCell ref="A6:B6"/>
    <mergeCell ref="P142:P145"/>
    <mergeCell ref="P122:P125"/>
    <mergeCell ref="P130:P133"/>
    <mergeCell ref="P110:P113"/>
    <mergeCell ref="B98:B101"/>
    <mergeCell ref="H98:H101"/>
    <mergeCell ref="H102:H105"/>
    <mergeCell ref="L142:L145"/>
    <mergeCell ref="N12:P12"/>
    <mergeCell ref="P14:P17"/>
    <mergeCell ref="P18:P21"/>
    <mergeCell ref="P22:P25"/>
    <mergeCell ref="P26:P29"/>
    <mergeCell ref="P78:P81"/>
    <mergeCell ref="P106:P109"/>
    <mergeCell ref="P102:P105"/>
    <mergeCell ref="L110:L113"/>
    <mergeCell ref="L138:L141"/>
    <mergeCell ref="C12:D13"/>
    <mergeCell ref="A12:B13"/>
    <mergeCell ref="L98:L101"/>
    <mergeCell ref="P98:P101"/>
    <mergeCell ref="A134:B137"/>
    <mergeCell ref="H134:H137"/>
    <mergeCell ref="L134:L137"/>
    <mergeCell ref="P134:P137"/>
    <mergeCell ref="L90:L93"/>
    <mergeCell ref="L102:L105"/>
    <mergeCell ref="P94:P97"/>
    <mergeCell ref="P86:P89"/>
    <mergeCell ref="P90:P93"/>
    <mergeCell ref="P138:P141"/>
    <mergeCell ref="A130:B133"/>
    <mergeCell ref="A138:B141"/>
    <mergeCell ref="A54:A105"/>
    <mergeCell ref="A106:A129"/>
    <mergeCell ref="B114:B117"/>
    <mergeCell ref="H114:H117"/>
    <mergeCell ref="L114:L117"/>
    <mergeCell ref="P114:P117"/>
    <mergeCell ref="B126:B129"/>
    <mergeCell ref="H126:H129"/>
    <mergeCell ref="L126:L129"/>
    <mergeCell ref="P126:P129"/>
    <mergeCell ref="B118:B121"/>
    <mergeCell ref="H118:H121"/>
    <mergeCell ref="L118:L121"/>
    <mergeCell ref="P118:P121"/>
    <mergeCell ref="H14:H17"/>
    <mergeCell ref="H50:H53"/>
    <mergeCell ref="H86:H89"/>
    <mergeCell ref="L86:L89"/>
    <mergeCell ref="L58:L61"/>
    <mergeCell ref="L62:L65"/>
    <mergeCell ref="L94:L97"/>
    <mergeCell ref="L70:L73"/>
    <mergeCell ref="B122:B125"/>
    <mergeCell ref="H122:H125"/>
    <mergeCell ref="L122:L125"/>
    <mergeCell ref="H22:H25"/>
    <mergeCell ref="B54:B57"/>
    <mergeCell ref="B14:B17"/>
    <mergeCell ref="B26:B29"/>
    <mergeCell ref="H26:H29"/>
    <mergeCell ref="B78:B81"/>
    <mergeCell ref="H78:H81"/>
    <mergeCell ref="B110:B113"/>
    <mergeCell ref="H110:H113"/>
    <mergeCell ref="B66:B69"/>
    <mergeCell ref="H18:H21"/>
    <mergeCell ref="H130:H133"/>
    <mergeCell ref="L130:L133"/>
    <mergeCell ref="L78:L81"/>
    <mergeCell ref="B74:B77"/>
    <mergeCell ref="A50:B53"/>
    <mergeCell ref="B38:B41"/>
    <mergeCell ref="B70:B73"/>
    <mergeCell ref="H66:H69"/>
    <mergeCell ref="L14:L17"/>
    <mergeCell ref="L18:L21"/>
    <mergeCell ref="L22:L25"/>
    <mergeCell ref="H142:H145"/>
    <mergeCell ref="B102:B105"/>
    <mergeCell ref="B82:B85"/>
    <mergeCell ref="B90:B93"/>
    <mergeCell ref="B94:B97"/>
    <mergeCell ref="H82:H85"/>
    <mergeCell ref="B106:B109"/>
    <mergeCell ref="H106:H109"/>
    <mergeCell ref="B86:B89"/>
    <mergeCell ref="H90:H93"/>
    <mergeCell ref="A142:B145"/>
    <mergeCell ref="H138:H141"/>
    <mergeCell ref="B18:B21"/>
    <mergeCell ref="B22:B25"/>
    <mergeCell ref="B58:B61"/>
    <mergeCell ref="H94:H97"/>
    <mergeCell ref="B62:B65"/>
    <mergeCell ref="F12:H12"/>
    <mergeCell ref="J12:L12"/>
    <mergeCell ref="H74:H77"/>
    <mergeCell ref="L106:L109"/>
    <mergeCell ref="G5:P5"/>
    <mergeCell ref="A4:P4"/>
    <mergeCell ref="L82:L85"/>
    <mergeCell ref="L26:L29"/>
    <mergeCell ref="L74:L77"/>
    <mergeCell ref="P66:P69"/>
    <mergeCell ref="L50:L53"/>
    <mergeCell ref="L66:L69"/>
    <mergeCell ref="L54:L57"/>
    <mergeCell ref="P54:P57"/>
    <mergeCell ref="P50:P53"/>
    <mergeCell ref="P58:P61"/>
    <mergeCell ref="P62:P65"/>
    <mergeCell ref="P82:P85"/>
    <mergeCell ref="P70:P73"/>
    <mergeCell ref="P74:P77"/>
    <mergeCell ref="H54:H57"/>
    <mergeCell ref="H58:H61"/>
    <mergeCell ref="H62:H65"/>
    <mergeCell ref="H70:H73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J56"/>
  <sheetViews>
    <sheetView showGridLines="0" topLeftCell="A10" zoomScale="85" zoomScaleNormal="85" workbookViewId="0">
      <selection activeCell="F24" sqref="F24"/>
    </sheetView>
  </sheetViews>
  <sheetFormatPr defaultColWidth="9.140625" defaultRowHeight="12.75" x14ac:dyDescent="0.2"/>
  <cols>
    <col min="1" max="1" width="3.42578125" style="5" customWidth="1"/>
    <col min="2" max="2" width="3.85546875" style="5" customWidth="1"/>
    <col min="3" max="3" width="7" style="5" customWidth="1"/>
    <col min="4" max="4" width="50.140625" style="5" customWidth="1"/>
    <col min="5" max="5" width="9.140625" style="5" bestFit="1" customWidth="1"/>
    <col min="6" max="6" width="8.7109375" style="5" bestFit="1" customWidth="1"/>
    <col min="7" max="7" width="10.42578125" style="5" customWidth="1"/>
    <col min="8" max="9" width="13.5703125" style="5" customWidth="1"/>
    <col min="10" max="10" width="16.28515625" style="5" bestFit="1" customWidth="1"/>
    <col min="11" max="11" width="16.5703125" style="5" customWidth="1"/>
    <col min="12" max="16" width="21.140625" style="5" customWidth="1"/>
    <col min="17" max="17" width="31.42578125" style="5" customWidth="1"/>
    <col min="18" max="19" width="19.85546875" style="5" customWidth="1"/>
    <col min="20" max="21" width="22.28515625" style="5" customWidth="1"/>
    <col min="22" max="22" width="20.28515625" style="5" customWidth="1"/>
    <col min="23" max="24" width="20" style="5" customWidth="1"/>
    <col min="25" max="25" width="21.85546875" style="5" customWidth="1"/>
    <col min="26" max="26" width="18.28515625" style="5" customWidth="1"/>
    <col min="27" max="27" width="16.140625" style="5" customWidth="1"/>
    <col min="28" max="16384" width="9.140625" style="5"/>
  </cols>
  <sheetData>
    <row r="1" spans="2:9" ht="15.75" customHeight="1" x14ac:dyDescent="0.2">
      <c r="C1" s="224" t="s">
        <v>209</v>
      </c>
      <c r="D1" s="224"/>
      <c r="E1" s="224"/>
      <c r="F1" s="224"/>
      <c r="G1" s="224"/>
      <c r="H1" s="224"/>
      <c r="I1" s="224"/>
    </row>
    <row r="2" spans="2:9" ht="15.75" customHeight="1" x14ac:dyDescent="0.2">
      <c r="C2" s="224"/>
      <c r="D2" s="224"/>
      <c r="E2" s="224"/>
      <c r="F2" s="224"/>
      <c r="G2" s="224"/>
      <c r="H2" s="224"/>
      <c r="I2" s="224"/>
    </row>
    <row r="3" spans="2:9" ht="12.75" customHeight="1" x14ac:dyDescent="0.2">
      <c r="C3" s="224"/>
      <c r="D3" s="224"/>
      <c r="E3" s="224"/>
      <c r="F3" s="224"/>
      <c r="G3" s="224"/>
      <c r="H3" s="224"/>
      <c r="I3" s="224"/>
    </row>
    <row r="4" spans="2:9" ht="12.75" customHeight="1" x14ac:dyDescent="0.2">
      <c r="C4" s="224"/>
      <c r="D4" s="224"/>
      <c r="E4" s="224"/>
      <c r="F4" s="224"/>
      <c r="G4" s="224"/>
      <c r="H4" s="224"/>
      <c r="I4" s="224"/>
    </row>
    <row r="5" spans="2:9" ht="15" x14ac:dyDescent="0.2">
      <c r="C5" s="185" t="s">
        <v>238</v>
      </c>
      <c r="D5" s="185"/>
      <c r="E5" s="185"/>
      <c r="F5" s="185"/>
      <c r="G5" s="185"/>
      <c r="H5" s="185"/>
      <c r="I5" s="185"/>
    </row>
    <row r="6" spans="2:9" x14ac:dyDescent="0.2">
      <c r="C6" s="6" t="s">
        <v>0</v>
      </c>
      <c r="H6" s="3"/>
      <c r="I6" s="4"/>
    </row>
    <row r="7" spans="2:9" ht="15" customHeight="1" x14ac:dyDescent="0.2">
      <c r="C7" s="202" t="s">
        <v>2</v>
      </c>
      <c r="D7" s="202" t="s">
        <v>3</v>
      </c>
      <c r="E7" s="202" t="s">
        <v>4</v>
      </c>
      <c r="F7" s="204" t="s">
        <v>194</v>
      </c>
      <c r="G7" s="204"/>
      <c r="H7" s="193" t="s">
        <v>5</v>
      </c>
      <c r="I7" s="195"/>
    </row>
    <row r="8" spans="2:9" x14ac:dyDescent="0.2">
      <c r="C8" s="203"/>
      <c r="D8" s="203"/>
      <c r="E8" s="203"/>
      <c r="F8" s="81" t="s">
        <v>195</v>
      </c>
      <c r="G8" s="81" t="s">
        <v>92</v>
      </c>
      <c r="H8" s="11" t="s">
        <v>6</v>
      </c>
      <c r="I8" s="11" t="s">
        <v>7</v>
      </c>
    </row>
    <row r="9" spans="2:9" x14ac:dyDescent="0.2">
      <c r="C9" s="36">
        <v>1</v>
      </c>
      <c r="D9" s="37" t="s">
        <v>8</v>
      </c>
      <c r="E9" s="38"/>
      <c r="F9" s="38"/>
      <c r="G9" s="41"/>
      <c r="H9" s="38"/>
      <c r="I9" s="38"/>
    </row>
    <row r="10" spans="2:9" x14ac:dyDescent="0.2">
      <c r="C10" s="36" t="s">
        <v>9</v>
      </c>
      <c r="D10" s="37" t="s">
        <v>55</v>
      </c>
      <c r="E10" s="38"/>
      <c r="F10" s="38"/>
      <c r="G10" s="41"/>
      <c r="H10" s="38"/>
      <c r="I10" s="38"/>
    </row>
    <row r="11" spans="2:9" x14ac:dyDescent="0.2">
      <c r="B11" s="5" t="s">
        <v>14</v>
      </c>
      <c r="C11" s="7" t="s">
        <v>11</v>
      </c>
      <c r="D11" s="8" t="s">
        <v>12</v>
      </c>
      <c r="E11" s="7" t="s">
        <v>13</v>
      </c>
      <c r="F11" s="162">
        <v>1</v>
      </c>
      <c r="G11" s="70">
        <f>ROUND(SUMIF('Produto 2 - Cálculo Esforço'!C:C,'2.1 Orç Reab e Rest'!$B11,'Produto 2 - Cálculo Esforço'!F:F)/'Produto 2 - Cálculo Esforço'!$B$11,3)</f>
        <v>0</v>
      </c>
      <c r="H11" s="9">
        <f>SUMIF('Salários e Custos'!$H$8:$H$23,'2.1 Orç Reab e Rest'!$B11,'Salários e Custos'!$F$8:$F$23)</f>
        <v>21182.87</v>
      </c>
      <c r="I11" s="9">
        <f>+H11*(F11*G11)</f>
        <v>0</v>
      </c>
    </row>
    <row r="12" spans="2:9" s="24" customFormat="1" x14ac:dyDescent="0.2">
      <c r="C12" s="36" t="s">
        <v>20</v>
      </c>
      <c r="D12" s="37" t="s">
        <v>10</v>
      </c>
      <c r="E12" s="38"/>
      <c r="F12" s="134"/>
      <c r="G12" s="71"/>
      <c r="H12" s="38"/>
      <c r="I12" s="38"/>
    </row>
    <row r="13" spans="2:9" s="24" customFormat="1" x14ac:dyDescent="0.2">
      <c r="B13" s="24" t="s">
        <v>15</v>
      </c>
      <c r="C13" s="7" t="s">
        <v>22</v>
      </c>
      <c r="D13" s="8" t="s">
        <v>95</v>
      </c>
      <c r="E13" s="7" t="s">
        <v>13</v>
      </c>
      <c r="F13" s="162">
        <v>1</v>
      </c>
      <c r="G13" s="70">
        <f>ROUND(SUMIF('Produto 2 - Cálculo Esforço'!C:C,'2.1 Orç Reab e Rest'!$B13,'Produto 2 - Cálculo Esforço'!F:F)/'Produto 2 - Cálculo Esforço'!$B$11,3)</f>
        <v>0</v>
      </c>
      <c r="H13" s="9">
        <f>SUMIF('Salários e Custos'!$H$8:$H$23,'2.1 Orç Reab e Rest'!$B13,'Salários e Custos'!$F$8:$F$23)</f>
        <v>18408.34</v>
      </c>
      <c r="I13" s="9">
        <f t="shared" ref="I13:I17" si="0">+H13*(F13*G13)</f>
        <v>0</v>
      </c>
    </row>
    <row r="14" spans="2:9" s="24" customFormat="1" ht="17.25" customHeight="1" x14ac:dyDescent="0.2">
      <c r="B14" s="24" t="s">
        <v>16</v>
      </c>
      <c r="C14" s="7" t="s">
        <v>24</v>
      </c>
      <c r="D14" s="8" t="s">
        <v>98</v>
      </c>
      <c r="E14" s="7" t="s">
        <v>13</v>
      </c>
      <c r="F14" s="162">
        <v>1</v>
      </c>
      <c r="G14" s="70">
        <f>ROUND(SUMIF('Produto 2 - Cálculo Esforço'!C:C,'2.1 Orç Reab e Rest'!$B14,'Produto 2 - Cálculo Esforço'!F:F)/'Produto 2 - Cálculo Esforço'!$B$11,3)</f>
        <v>1.909</v>
      </c>
      <c r="H14" s="9">
        <f>SUMIF('Salários e Custos'!$H$8:$H$23,'2.1 Orç Reab e Rest'!$B14,'Salários e Custos'!$F$8:$F$23)</f>
        <v>14505.08</v>
      </c>
      <c r="I14" s="9">
        <f t="shared" si="0"/>
        <v>27690.19772</v>
      </c>
    </row>
    <row r="15" spans="2:9" s="24" customFormat="1" x14ac:dyDescent="0.2">
      <c r="B15" s="24" t="s">
        <v>17</v>
      </c>
      <c r="C15" s="7" t="s">
        <v>27</v>
      </c>
      <c r="D15" s="8" t="s">
        <v>96</v>
      </c>
      <c r="E15" s="7" t="s">
        <v>13</v>
      </c>
      <c r="F15" s="162">
        <v>1</v>
      </c>
      <c r="G15" s="70">
        <f>ROUND(SUMIF('Produto 2 - Cálculo Esforço'!C:C,'2.1 Orç Reab e Rest'!$B15,'Produto 2 - Cálculo Esforço'!F:F)/'Produto 2 - Cálculo Esforço'!$B$11,3)</f>
        <v>2.4550000000000001</v>
      </c>
      <c r="H15" s="9">
        <f>SUMIF('Salários e Custos'!$H$8:$H$23,'2.1 Orç Reab e Rest'!$B15,'Salários e Custos'!$F$8:$F$23)</f>
        <v>11347.68</v>
      </c>
      <c r="I15" s="9">
        <f t="shared" si="0"/>
        <v>27858.554400000001</v>
      </c>
    </row>
    <row r="16" spans="2:9" s="24" customFormat="1" x14ac:dyDescent="0.2">
      <c r="B16" s="24" t="s">
        <v>18</v>
      </c>
      <c r="C16" s="7" t="s">
        <v>24</v>
      </c>
      <c r="D16" s="8" t="s">
        <v>97</v>
      </c>
      <c r="E16" s="7" t="s">
        <v>13</v>
      </c>
      <c r="F16" s="162">
        <v>1</v>
      </c>
      <c r="G16" s="70">
        <f>ROUND(SUMIF('Produto 2 - Cálculo Esforço'!C:C,'2.1 Orç Reab e Rest'!$B16,'Produto 2 - Cálculo Esforço'!F:F)/'Produto 2 - Cálculo Esforço'!$B$11,3)</f>
        <v>2.8180000000000001</v>
      </c>
      <c r="H16" s="9">
        <f>SUMIF('Salários e Custos'!$H$8:$H$23,'2.1 Orç Reab e Rest'!$B16,'Salários e Custos'!$F$8:$F$23)</f>
        <v>9335.82</v>
      </c>
      <c r="I16" s="9">
        <f t="shared" si="0"/>
        <v>26308.340759999999</v>
      </c>
    </row>
    <row r="17" spans="2:9" s="24" customFormat="1" x14ac:dyDescent="0.2">
      <c r="B17" s="24" t="s">
        <v>19</v>
      </c>
      <c r="C17" s="7" t="s">
        <v>30</v>
      </c>
      <c r="D17" s="8" t="s">
        <v>99</v>
      </c>
      <c r="E17" s="7" t="s">
        <v>13</v>
      </c>
      <c r="F17" s="162">
        <v>1</v>
      </c>
      <c r="G17" s="70">
        <f>ROUND(SUMIF('Produto 2 - Cálculo Esforço'!C:C,'2.1 Orç Reab e Rest'!$B17,'Produto 2 - Cálculo Esforço'!F:F)/'Produto 2 - Cálculo Esforço'!$B$11,3)</f>
        <v>1.5</v>
      </c>
      <c r="H17" s="9">
        <f>SUMIF('Salários e Custos'!$H$8:$H$23,'2.1 Orç Reab e Rest'!$B17,'Salários e Custos'!$F$8:$F$23)</f>
        <v>8882.5</v>
      </c>
      <c r="I17" s="9">
        <f t="shared" si="0"/>
        <v>13323.75</v>
      </c>
    </row>
    <row r="18" spans="2:9" s="24" customFormat="1" x14ac:dyDescent="0.2">
      <c r="C18" s="36" t="s">
        <v>32</v>
      </c>
      <c r="D18" s="37" t="s">
        <v>21</v>
      </c>
      <c r="E18" s="39"/>
      <c r="F18" s="135"/>
      <c r="G18" s="72"/>
      <c r="H18" s="40"/>
      <c r="I18" s="40"/>
    </row>
    <row r="19" spans="2:9" s="24" customFormat="1" x14ac:dyDescent="0.2">
      <c r="B19" s="24" t="s">
        <v>23</v>
      </c>
      <c r="C19" s="7" t="s">
        <v>33</v>
      </c>
      <c r="D19" s="8" t="s">
        <v>100</v>
      </c>
      <c r="E19" s="7" t="s">
        <v>13</v>
      </c>
      <c r="F19" s="162">
        <v>1</v>
      </c>
      <c r="G19" s="70">
        <f>ROUND(SUMIF('Produto 2 - Cálculo Esforço'!C:C,'2.1 Orç Reab e Rest'!$B19,'Produto 2 - Cálculo Esforço'!F:F)/'Produto 2 - Cálculo Esforço'!$B$11,3)</f>
        <v>0</v>
      </c>
      <c r="H19" s="9">
        <f>SUMIF('Salários e Custos'!$H$8:$H$23,'2.1 Orç Reab e Rest'!$B19,'Salários e Custos'!$F$8:$F$23)</f>
        <v>6576.05</v>
      </c>
      <c r="I19" s="9">
        <f t="shared" ref="I19:I23" si="1">+H19*(F19*G19)</f>
        <v>0</v>
      </c>
    </row>
    <row r="20" spans="2:9" ht="12.75" customHeight="1" x14ac:dyDescent="0.2">
      <c r="B20" s="5" t="s">
        <v>26</v>
      </c>
      <c r="C20" s="7" t="s">
        <v>36</v>
      </c>
      <c r="D20" s="8" t="s">
        <v>25</v>
      </c>
      <c r="E20" s="7" t="s">
        <v>13</v>
      </c>
      <c r="F20" s="162">
        <v>1</v>
      </c>
      <c r="G20" s="70">
        <f>ROUND(SUMIF('Produto 2 - Cálculo Esforço'!C:C,'2.1 Orç Reab e Rest'!$B20,'Produto 2 - Cálculo Esforço'!F:F)/'Produto 2 - Cálculo Esforço'!$B$11,3)</f>
        <v>3.3180000000000001</v>
      </c>
      <c r="H20" s="9">
        <f>SUMIF('Salários e Custos'!$H$8:$H$23,'2.1 Orç Reab e Rest'!$B20,'Salários e Custos'!$F$8:$F$23)</f>
        <v>5015.7</v>
      </c>
      <c r="I20" s="9">
        <f t="shared" si="1"/>
        <v>16642.0926</v>
      </c>
    </row>
    <row r="21" spans="2:9" ht="12.75" customHeight="1" x14ac:dyDescent="0.2">
      <c r="B21" s="5" t="s">
        <v>28</v>
      </c>
      <c r="C21" s="7" t="s">
        <v>38</v>
      </c>
      <c r="D21" s="8" t="s">
        <v>89</v>
      </c>
      <c r="E21" s="7" t="s">
        <v>13</v>
      </c>
      <c r="F21" s="162">
        <v>1</v>
      </c>
      <c r="G21" s="70">
        <f>ROUND(SUMIF('Produto 2 - Cálculo Esforço'!C:C,'2.1 Orç Reab e Rest'!$B21,'Produto 2 - Cálculo Esforço'!F:F)/'Produto 2 - Cálculo Esforço'!$B$11,3)</f>
        <v>9.0999999999999998E-2</v>
      </c>
      <c r="H21" s="9">
        <f>SUMIF('Salários e Custos'!$H$8:$H$23,'2.1 Orç Reab e Rest'!$B21,'Salários e Custos'!$F$8:$F$23)</f>
        <v>3793.13</v>
      </c>
      <c r="I21" s="9">
        <f t="shared" si="1"/>
        <v>345.17482999999999</v>
      </c>
    </row>
    <row r="22" spans="2:9" ht="12.75" customHeight="1" x14ac:dyDescent="0.2">
      <c r="B22" s="5" t="s">
        <v>29</v>
      </c>
      <c r="C22" s="7" t="s">
        <v>50</v>
      </c>
      <c r="D22" s="8" t="s">
        <v>90</v>
      </c>
      <c r="E22" s="7" t="s">
        <v>13</v>
      </c>
      <c r="F22" s="162">
        <v>1</v>
      </c>
      <c r="G22" s="70">
        <f>ROUND(SUMIF('Produto 2 - Cálculo Esforço'!C:C,'2.1 Orç Reab e Rest'!$B22,'Produto 2 - Cálculo Esforço'!F:F)/'Produto 2 - Cálculo Esforço'!$B$11,3)</f>
        <v>0.318</v>
      </c>
      <c r="H22" s="9">
        <f>SUMIF('Salários e Custos'!$H$8:$H$23,'2.1 Orç Reab e Rest'!$B22,'Salários e Custos'!$F$8:$F$23)</f>
        <v>3044.5</v>
      </c>
      <c r="I22" s="9">
        <f t="shared" si="1"/>
        <v>968.15100000000007</v>
      </c>
    </row>
    <row r="23" spans="2:9" ht="12.75" customHeight="1" x14ac:dyDescent="0.2">
      <c r="B23" s="5" t="s">
        <v>31</v>
      </c>
      <c r="C23" s="7" t="s">
        <v>51</v>
      </c>
      <c r="D23" s="8" t="s">
        <v>91</v>
      </c>
      <c r="E23" s="7" t="s">
        <v>13</v>
      </c>
      <c r="F23" s="162">
        <v>1</v>
      </c>
      <c r="G23" s="70">
        <f>ROUND(SUMIF('Produto 2 - Cálculo Esforço'!C:C,'2.1 Orç Reab e Rest'!$B23,'Produto 2 - Cálculo Esforço'!F:F)/'Produto 2 - Cálculo Esforço'!$B$11,3)</f>
        <v>0.68200000000000005</v>
      </c>
      <c r="H23" s="9">
        <f>SUMIF('Salários e Custos'!$H$8:$H$23,'2.1 Orç Reab e Rest'!$B23,'Salários e Custos'!$F$8:$F$23)</f>
        <v>2274.4299999999998</v>
      </c>
      <c r="I23" s="9">
        <f t="shared" si="1"/>
        <v>1551.1612600000001</v>
      </c>
    </row>
    <row r="24" spans="2:9" ht="12.75" customHeight="1" x14ac:dyDescent="0.2">
      <c r="C24" s="36" t="s">
        <v>52</v>
      </c>
      <c r="D24" s="37" t="s">
        <v>81</v>
      </c>
      <c r="E24" s="39"/>
      <c r="F24" s="135"/>
      <c r="G24" s="72"/>
      <c r="H24" s="40"/>
      <c r="I24" s="40"/>
    </row>
    <row r="25" spans="2:9" ht="12.75" customHeight="1" x14ac:dyDescent="0.2">
      <c r="B25" s="5" t="s">
        <v>35</v>
      </c>
      <c r="C25" s="7" t="s">
        <v>53</v>
      </c>
      <c r="D25" s="8" t="s">
        <v>34</v>
      </c>
      <c r="E25" s="7" t="s">
        <v>13</v>
      </c>
      <c r="F25" s="162">
        <v>1</v>
      </c>
      <c r="G25" s="70">
        <f>ROUND(SUMIF('Produto 2 - Cálculo Esforço'!C:C,'2.1 Orç Reab e Rest'!$B25,'Produto 2 - Cálculo Esforço'!F:F)/'Produto 2 - Cálculo Esforço'!$B$11,3)</f>
        <v>0</v>
      </c>
      <c r="H25" s="9">
        <f>SUMIF('Salários e Custos'!$H$8:$H$23,'2.1 Orç Reab e Rest'!$B25,'Salários e Custos'!$F$8:$F$23)</f>
        <v>5268.86</v>
      </c>
      <c r="I25" s="9">
        <f t="shared" ref="I25:I28" si="2">+H25*(F25*G25)</f>
        <v>0</v>
      </c>
    </row>
    <row r="26" spans="2:9" ht="12.75" customHeight="1" x14ac:dyDescent="0.2">
      <c r="B26" s="5" t="s">
        <v>37</v>
      </c>
      <c r="C26" s="7" t="s">
        <v>53</v>
      </c>
      <c r="D26" s="44" t="s">
        <v>83</v>
      </c>
      <c r="E26" s="7" t="s">
        <v>13</v>
      </c>
      <c r="F26" s="162">
        <v>1</v>
      </c>
      <c r="G26" s="70">
        <f>ROUND(SUMIF('Produto 2 - Cálculo Esforço'!C:C,'2.1 Orç Reab e Rest'!$B26,'Produto 2 - Cálculo Esforço'!F:F)/'Produto 2 - Cálculo Esforço'!$B$11,3)</f>
        <v>0</v>
      </c>
      <c r="H26" s="9">
        <f>SUMIF('Salários e Custos'!$H$8:$H$23,'2.1 Orç Reab e Rest'!$B26,'Salários e Custos'!$F$8:$F$23)</f>
        <v>3164.02</v>
      </c>
      <c r="I26" s="9">
        <f t="shared" si="2"/>
        <v>0</v>
      </c>
    </row>
    <row r="27" spans="2:9" x14ac:dyDescent="0.2">
      <c r="B27" s="5" t="s">
        <v>39</v>
      </c>
      <c r="C27" s="7" t="s">
        <v>54</v>
      </c>
      <c r="D27" s="44" t="s">
        <v>85</v>
      </c>
      <c r="E27" s="7" t="s">
        <v>13</v>
      </c>
      <c r="F27" s="162">
        <v>1</v>
      </c>
      <c r="G27" s="70">
        <f>ROUND(SUMIF('Produto 2 - Cálculo Esforço'!C:C,'2.1 Orç Reab e Rest'!$B27,'Produto 2 - Cálculo Esforço'!F:F)/'Produto 2 - Cálculo Esforço'!$B$11,3)</f>
        <v>0.22700000000000001</v>
      </c>
      <c r="H27" s="9">
        <f>SUMIF('Salários e Custos'!$H$8:$H$23,'2.1 Orç Reab e Rest'!$B27,'Salários e Custos'!$F$8:$F$23)</f>
        <v>2044.22</v>
      </c>
      <c r="I27" s="9">
        <f t="shared" si="2"/>
        <v>464.03794000000005</v>
      </c>
    </row>
    <row r="28" spans="2:9" x14ac:dyDescent="0.2">
      <c r="B28" s="5" t="s">
        <v>56</v>
      </c>
      <c r="C28" s="7" t="s">
        <v>54</v>
      </c>
      <c r="D28" s="44" t="s">
        <v>86</v>
      </c>
      <c r="E28" s="7" t="s">
        <v>13</v>
      </c>
      <c r="F28" s="162">
        <v>1</v>
      </c>
      <c r="G28" s="70">
        <f>ROUND(SUMIF('Produto 2 - Cálculo Esforço'!C:C,'2.1 Orç Reab e Rest'!$B28,'Produto 2 - Cálculo Esforço'!F:F)/'Produto 2 - Cálculo Esforço'!$B$11,3)</f>
        <v>0.182</v>
      </c>
      <c r="H28" s="9">
        <f>SUMIF('Salários e Custos'!$H$8:$H$32,'2.1 Orç Reab e Rest'!$B28,'Salários e Custos'!$F$8:$F$32)</f>
        <v>1782.1</v>
      </c>
      <c r="I28" s="9">
        <f t="shared" si="2"/>
        <v>324.34219999999999</v>
      </c>
    </row>
    <row r="29" spans="2:9" x14ac:dyDescent="0.2">
      <c r="C29" s="26"/>
      <c r="D29" s="27"/>
      <c r="E29" s="27"/>
      <c r="F29" s="27"/>
      <c r="G29" s="27"/>
      <c r="H29" s="27"/>
      <c r="I29" s="28"/>
    </row>
    <row r="30" spans="2:9" ht="15" customHeight="1" x14ac:dyDescent="0.2">
      <c r="C30" s="11" t="s">
        <v>40</v>
      </c>
      <c r="D30" s="196" t="s">
        <v>41</v>
      </c>
      <c r="E30" s="197"/>
      <c r="F30" s="197"/>
      <c r="G30" s="197"/>
      <c r="H30" s="198"/>
      <c r="I30" s="12">
        <f>SUM(I11:I29)</f>
        <v>115475.80271</v>
      </c>
    </row>
    <row r="31" spans="2:9" ht="15.75" customHeight="1" x14ac:dyDescent="0.2">
      <c r="C31" s="11" t="s">
        <v>42</v>
      </c>
      <c r="D31" s="196" t="s">
        <v>213</v>
      </c>
      <c r="E31" s="197"/>
      <c r="F31" s="197"/>
      <c r="G31" s="197"/>
      <c r="H31" s="198"/>
      <c r="I31" s="12">
        <f>ROUND(+SUM(I13:I28)*'Salários e Custos'!F38+I11*'Salários e Custos'!F37,2)</f>
        <v>97045.86</v>
      </c>
    </row>
    <row r="32" spans="2:9" ht="15.75" customHeight="1" x14ac:dyDescent="0.2">
      <c r="C32" s="11" t="s">
        <v>43</v>
      </c>
      <c r="D32" s="196" t="s">
        <v>214</v>
      </c>
      <c r="E32" s="197"/>
      <c r="F32" s="197"/>
      <c r="G32" s="197"/>
      <c r="H32" s="198"/>
      <c r="I32" s="14">
        <f>ROUND((+I30-I11)*'Salários e Custos'!F39,2)</f>
        <v>23095.16</v>
      </c>
    </row>
    <row r="33" spans="2:10" ht="15.75" customHeight="1" x14ac:dyDescent="0.2">
      <c r="C33" s="30"/>
      <c r="D33" s="15"/>
      <c r="E33" s="15"/>
      <c r="F33" s="15"/>
      <c r="G33" s="15"/>
      <c r="H33" s="15"/>
      <c r="I33" s="16"/>
    </row>
    <row r="34" spans="2:10" s="6" customFormat="1" ht="15.75" customHeight="1" x14ac:dyDescent="0.2">
      <c r="C34" s="11">
        <v>2</v>
      </c>
      <c r="D34" s="13" t="s">
        <v>44</v>
      </c>
      <c r="E34" s="13"/>
      <c r="F34" s="13"/>
      <c r="G34" s="13"/>
      <c r="H34" s="13"/>
      <c r="I34" s="12"/>
    </row>
    <row r="35" spans="2:10" ht="15.75" customHeight="1" x14ac:dyDescent="0.2">
      <c r="B35" s="5" t="s">
        <v>170</v>
      </c>
      <c r="C35" s="7" t="s">
        <v>45</v>
      </c>
      <c r="D35" s="65" t="s">
        <v>132</v>
      </c>
      <c r="E35" s="7" t="s">
        <v>13</v>
      </c>
      <c r="F35" s="162">
        <v>1</v>
      </c>
      <c r="G35" s="142">
        <f>ROUND('Produto 2 - Cálculo Esforço'!F19/'Produto 2 - Cálculo Esforço'!B11,3)</f>
        <v>4.4999999999999998E-2</v>
      </c>
      <c r="H35" s="9">
        <f>SUMIF('Salários e Custos'!$H$8:$H$32,'2.1 Orç Reab e Rest'!$B35,'Salários e Custos'!$F$8:$F$32)</f>
        <v>1860.06</v>
      </c>
      <c r="I35" s="9">
        <f>ROUND(H35*F35*G35,2)</f>
        <v>83.7</v>
      </c>
    </row>
    <row r="36" spans="2:10" ht="15.75" customHeight="1" x14ac:dyDescent="0.2">
      <c r="B36" s="5" t="s">
        <v>171</v>
      </c>
      <c r="C36" s="7" t="s">
        <v>162</v>
      </c>
      <c r="D36" s="65" t="s">
        <v>133</v>
      </c>
      <c r="E36" s="7" t="s">
        <v>13</v>
      </c>
      <c r="F36" s="162">
        <v>1</v>
      </c>
      <c r="G36" s="143">
        <f>ROUND(('Produto 2 - Cálculo Esforço'!F19+'Produto 2 - Cálculo Esforço'!F104)/'Produto 2 - Cálculo Esforço'!B11,3)</f>
        <v>0.5</v>
      </c>
      <c r="H36" s="9">
        <f>SUMIF('Salários e Custos'!$H$8:$H$32,'2.1 Orç Reab e Rest'!$B36,'Salários e Custos'!$F$8:$F$32)</f>
        <v>326.83999999999997</v>
      </c>
      <c r="I36" s="9">
        <f t="shared" ref="I36:I43" si="3">ROUND(H36*F36*G36,2)</f>
        <v>163.41999999999999</v>
      </c>
    </row>
    <row r="37" spans="2:10" ht="15.75" customHeight="1" x14ac:dyDescent="0.2">
      <c r="B37" s="5" t="s">
        <v>172</v>
      </c>
      <c r="C37" s="7" t="s">
        <v>121</v>
      </c>
      <c r="D37" s="65" t="s">
        <v>134</v>
      </c>
      <c r="E37" s="7" t="s">
        <v>13</v>
      </c>
      <c r="F37" s="162">
        <v>1</v>
      </c>
      <c r="G37" s="143">
        <f>ROUND('Produto 2 - Cálculo Esforço'!F27/'Produto 2 - Cálculo Esforço'!B11,3)</f>
        <v>9.0999999999999998E-2</v>
      </c>
      <c r="H37" s="9">
        <f>SUMIF('Salários e Custos'!$H$8:$H$32,'2.1 Orç Reab e Rest'!$B37,'Salários e Custos'!$F$8:$F$32)</f>
        <v>1705.77</v>
      </c>
      <c r="I37" s="9">
        <f t="shared" si="3"/>
        <v>155.22999999999999</v>
      </c>
    </row>
    <row r="38" spans="2:10" ht="15.75" customHeight="1" x14ac:dyDescent="0.2">
      <c r="B38" s="5" t="s">
        <v>173</v>
      </c>
      <c r="C38" s="7" t="s">
        <v>163</v>
      </c>
      <c r="D38" s="65" t="s">
        <v>135</v>
      </c>
      <c r="E38" s="7" t="s">
        <v>13</v>
      </c>
      <c r="F38" s="162">
        <v>1</v>
      </c>
      <c r="G38" s="143">
        <f>ROUND('Produto 2 - Cálculo Esforço'!F24/'Produto 2 - Cálculo Esforço'!B11,3)</f>
        <v>0.13600000000000001</v>
      </c>
      <c r="H38" s="9">
        <f>SUMIF('Salários e Custos'!$H$8:$H$32,'2.1 Orç Reab e Rest'!$B38,'Salários e Custos'!$F$8:$F$32)</f>
        <v>2638.67</v>
      </c>
      <c r="I38" s="9">
        <f t="shared" si="3"/>
        <v>358.86</v>
      </c>
    </row>
    <row r="39" spans="2:10" ht="15.75" customHeight="1" x14ac:dyDescent="0.2">
      <c r="B39" s="5" t="s">
        <v>174</v>
      </c>
      <c r="C39" s="7" t="s">
        <v>164</v>
      </c>
      <c r="D39" s="65" t="s">
        <v>136</v>
      </c>
      <c r="E39" s="7" t="s">
        <v>13</v>
      </c>
      <c r="F39" s="162">
        <v>1</v>
      </c>
      <c r="G39" s="143">
        <f>ROUND('Produto 2 - Cálculo Esforço'!F24/'Produto 2 - Cálculo Esforço'!B11,3)</f>
        <v>0.13600000000000001</v>
      </c>
      <c r="H39" s="9">
        <f>SUMIF('Salários e Custos'!$H$8:$H$32,'2.1 Orç Reab e Rest'!$B39,'Salários e Custos'!$F$8:$F$32)</f>
        <v>4077.93</v>
      </c>
      <c r="I39" s="9">
        <f t="shared" si="3"/>
        <v>554.6</v>
      </c>
    </row>
    <row r="40" spans="2:10" ht="15.75" customHeight="1" x14ac:dyDescent="0.2">
      <c r="B40" s="5" t="s">
        <v>120</v>
      </c>
      <c r="C40" s="7" t="s">
        <v>165</v>
      </c>
      <c r="D40" s="65" t="s">
        <v>144</v>
      </c>
      <c r="E40" s="7" t="s">
        <v>13</v>
      </c>
      <c r="F40" s="162">
        <v>1</v>
      </c>
      <c r="G40" s="143">
        <f>ROUND(SUM(G11:G23),3)</f>
        <v>13.090999999999999</v>
      </c>
      <c r="H40" s="9">
        <f>SUMIF('Salários e Custos'!$H$8:$H$32,'2.1 Orç Reab e Rest'!$B40,'Salários e Custos'!$F$8:$F$32)</f>
        <v>171.37</v>
      </c>
      <c r="I40" s="9">
        <f t="shared" si="3"/>
        <v>2243.4</v>
      </c>
    </row>
    <row r="41" spans="2:10" ht="15.75" customHeight="1" x14ac:dyDescent="0.2">
      <c r="B41" s="5" t="s">
        <v>175</v>
      </c>
      <c r="C41" s="7" t="s">
        <v>166</v>
      </c>
      <c r="D41" s="65" t="s">
        <v>129</v>
      </c>
      <c r="E41" s="7" t="s">
        <v>13</v>
      </c>
      <c r="F41" s="162">
        <v>1</v>
      </c>
      <c r="G41" s="143">
        <f>ROUND(('Produto 2 - Cálculo Esforço'!F15+'Produto 2 - Cálculo Esforço'!F30/2+'Produto 2 - Cálculo Esforço'!F34/3+'Produto 2 - Cálculo Esforço'!F38/3+'Produto 2 - Cálculo Esforço'!F42/3+'Produto 2 - Cálculo Esforço'!F46/2+'Produto 2 - Cálculo Esforço'!F56/5+'Produto 2 - Cálculo Esforço'!F60/5+'Produto 2 - Cálculo Esforço'!F64/5+'Produto 2 - Cálculo Esforço'!F67/5+'Produto 2 - Cálculo Esforço'!F71/5+'Produto 2 - Cálculo Esforço'!F75/5+'Produto 2 - Cálculo Esforço'!F79/4+'Produto 2 - Cálculo Esforço'!F84/5+'Produto 2 - Cálculo Esforço'!F87/5+'Produto 2 - Cálculo Esforço'!F91/4+'Produto 2 - Cálculo Esforço'!F95/2+'Produto 2 - Cálculo Esforço'!F105/5+'Produto 2 - Cálculo Esforço'!F107/2+'Produto 2 - Cálculo Esforço'!F112/3+'Produto 2 - Cálculo Esforço'!F117/2+'Produto 2 - Cálculo Esforço'!F121/4+'Produto 2 - Cálculo Esforço'!F123/3+'Produto 2 - Cálculo Esforço'!F129/5)/'Produto 2 - Cálculo Esforço'!B11,3)</f>
        <v>1.3049999999999999</v>
      </c>
      <c r="H41" s="9">
        <f>SUMIF('Salários e Custos'!$H$8:$H$32,'2.1 Orç Reab e Rest'!$B41,'Salários e Custos'!$F$8:$F$32)</f>
        <v>3366.25</v>
      </c>
      <c r="I41" s="9">
        <f t="shared" si="3"/>
        <v>4392.96</v>
      </c>
    </row>
    <row r="42" spans="2:10" ht="15.75" customHeight="1" x14ac:dyDescent="0.2">
      <c r="B42" s="5" t="s">
        <v>176</v>
      </c>
      <c r="C42" s="7" t="s">
        <v>167</v>
      </c>
      <c r="D42" s="65" t="s">
        <v>130</v>
      </c>
      <c r="E42" s="7" t="s">
        <v>13</v>
      </c>
      <c r="F42" s="162">
        <v>1</v>
      </c>
      <c r="G42" s="143">
        <f>ROUND(('Produto 2 - Cálculo Esforço'!F19+'Produto 2 - Cálculo Esforço'!F23+'Produto 2 - Cálculo Esforço'!F27)/'Produto 2 - Cálculo Esforço'!B11,3)</f>
        <v>0.27300000000000002</v>
      </c>
      <c r="H42" s="9">
        <f>SUMIF('Salários e Custos'!$H$8:$H$32,'2.1 Orç Reab e Rest'!$B42,'Salários e Custos'!$F$8:$F$32)</f>
        <v>3561.89</v>
      </c>
      <c r="I42" s="9">
        <f t="shared" si="3"/>
        <v>972.4</v>
      </c>
    </row>
    <row r="43" spans="2:10" ht="15.75" customHeight="1" x14ac:dyDescent="0.2">
      <c r="B43" s="5" t="s">
        <v>177</v>
      </c>
      <c r="C43" s="7" t="s">
        <v>168</v>
      </c>
      <c r="D43" s="29" t="s">
        <v>131</v>
      </c>
      <c r="E43" s="7" t="s">
        <v>13</v>
      </c>
      <c r="F43" s="162">
        <v>1</v>
      </c>
      <c r="G43" s="142">
        <f>ROUND('Produto 2 - Cálculo Esforço'!F27/'Produto 2 - Cálculo Esforço'!B11,3)</f>
        <v>9.0999999999999998E-2</v>
      </c>
      <c r="H43" s="9">
        <f>SUMIF('Salários e Custos'!$H$8:$H$32,'2.1 Orç Reab e Rest'!$B43,'Salários e Custos'!$F$8:$F$32)</f>
        <v>11311.06</v>
      </c>
      <c r="I43" s="9">
        <f t="shared" si="3"/>
        <v>1029.31</v>
      </c>
      <c r="J43" s="52"/>
    </row>
    <row r="44" spans="2:10" ht="15.75" customHeight="1" x14ac:dyDescent="0.2">
      <c r="C44" s="11" t="s">
        <v>46</v>
      </c>
      <c r="D44" s="193" t="s">
        <v>47</v>
      </c>
      <c r="E44" s="194"/>
      <c r="F44" s="194"/>
      <c r="G44" s="194"/>
      <c r="H44" s="195"/>
      <c r="I44" s="17">
        <f>SUM(I35:I43)</f>
        <v>9953.8799999999992</v>
      </c>
    </row>
    <row r="45" spans="2:10" ht="15.75" customHeight="1" x14ac:dyDescent="0.2">
      <c r="C45" s="18"/>
      <c r="D45" s="15"/>
      <c r="E45" s="15"/>
      <c r="F45" s="15"/>
      <c r="G45" s="15"/>
      <c r="H45" s="15"/>
      <c r="I45" s="16"/>
    </row>
    <row r="46" spans="2:10" ht="15.75" customHeight="1" x14ac:dyDescent="0.2">
      <c r="C46" s="7" t="s">
        <v>204</v>
      </c>
      <c r="D46" s="190" t="s">
        <v>187</v>
      </c>
      <c r="E46" s="191"/>
      <c r="F46" s="191"/>
      <c r="G46" s="191"/>
      <c r="H46" s="192"/>
      <c r="I46" s="19">
        <f>I30+I31+I32+I44</f>
        <v>245570.70271000001</v>
      </c>
    </row>
    <row r="47" spans="2:10" ht="15.75" customHeight="1" x14ac:dyDescent="0.2">
      <c r="C47" s="18"/>
      <c r="D47" s="15"/>
      <c r="E47" s="15"/>
      <c r="F47" s="15"/>
      <c r="G47" s="15"/>
      <c r="H47" s="15"/>
      <c r="I47" s="21"/>
    </row>
    <row r="48" spans="2:10" ht="15.75" customHeight="1" x14ac:dyDescent="0.2">
      <c r="C48" s="7" t="s">
        <v>48</v>
      </c>
      <c r="D48" s="193" t="s">
        <v>49</v>
      </c>
      <c r="E48" s="194"/>
      <c r="F48" s="194"/>
      <c r="G48" s="194"/>
      <c r="H48" s="195"/>
      <c r="I48" s="23"/>
    </row>
    <row r="49" spans="3:9" ht="15.75" customHeight="1" x14ac:dyDescent="0.2">
      <c r="C49" s="7" t="s">
        <v>185</v>
      </c>
      <c r="D49" s="190" t="s">
        <v>219</v>
      </c>
      <c r="E49" s="191"/>
      <c r="F49" s="191"/>
      <c r="G49" s="191"/>
      <c r="H49" s="192"/>
      <c r="I49" s="19">
        <f>ROUND(+I46*'Salários e Custos'!F40,2)</f>
        <v>29468.48</v>
      </c>
    </row>
    <row r="50" spans="3:9" ht="15.75" customHeight="1" x14ac:dyDescent="0.2">
      <c r="C50" s="78"/>
      <c r="D50" s="15"/>
      <c r="E50" s="15"/>
      <c r="F50" s="15"/>
      <c r="G50" s="15"/>
      <c r="H50" s="15"/>
      <c r="I50" s="21"/>
    </row>
    <row r="51" spans="3:9" ht="15.75" customHeight="1" x14ac:dyDescent="0.2">
      <c r="C51" s="7" t="s">
        <v>205</v>
      </c>
      <c r="D51" s="190" t="s">
        <v>188</v>
      </c>
      <c r="E51" s="191"/>
      <c r="F51" s="191"/>
      <c r="G51" s="191"/>
      <c r="H51" s="192"/>
      <c r="I51" s="19">
        <f>+I46+I49</f>
        <v>275039.18271000002</v>
      </c>
    </row>
    <row r="52" spans="3:9" ht="15.75" customHeight="1" x14ac:dyDescent="0.2">
      <c r="C52" s="7"/>
      <c r="D52" s="78"/>
      <c r="E52" s="79"/>
      <c r="F52" s="79"/>
      <c r="G52" s="79"/>
      <c r="H52" s="80"/>
      <c r="I52" s="21"/>
    </row>
    <row r="53" spans="3:9" ht="15.75" customHeight="1" x14ac:dyDescent="0.2">
      <c r="C53" s="7" t="s">
        <v>186</v>
      </c>
      <c r="D53" s="190" t="s">
        <v>218</v>
      </c>
      <c r="E53" s="191"/>
      <c r="F53" s="191"/>
      <c r="G53" s="191"/>
      <c r="H53" s="192"/>
      <c r="I53" s="19">
        <f>ROUND(+I51*'Salários e Custos'!F41,2)</f>
        <v>45711.51</v>
      </c>
    </row>
    <row r="54" spans="3:9" ht="15.75" customHeight="1" x14ac:dyDescent="0.2">
      <c r="C54" s="18"/>
      <c r="D54" s="15"/>
      <c r="E54" s="15"/>
      <c r="F54" s="15"/>
      <c r="G54" s="15"/>
      <c r="H54" s="15"/>
      <c r="I54" s="21"/>
    </row>
    <row r="55" spans="3:9" s="6" customFormat="1" ht="15.75" customHeight="1" x14ac:dyDescent="0.2">
      <c r="C55" s="193" t="s">
        <v>196</v>
      </c>
      <c r="D55" s="194"/>
      <c r="E55" s="194"/>
      <c r="F55" s="194"/>
      <c r="G55" s="194"/>
      <c r="H55" s="195"/>
      <c r="I55" s="19">
        <f>+I51+I53</f>
        <v>320750.69271000003</v>
      </c>
    </row>
    <row r="56" spans="3:9" s="6" customFormat="1" ht="15.75" customHeight="1" x14ac:dyDescent="0.25">
      <c r="C56" s="225" t="s">
        <v>201</v>
      </c>
      <c r="D56" s="226"/>
      <c r="E56" s="226"/>
      <c r="F56" s="226"/>
      <c r="G56" s="226"/>
      <c r="H56" s="227"/>
      <c r="I56" s="54">
        <f>ROUND(I55/'Produto 2 - Cálculo Esforço'!F5,2)</f>
        <v>16037.53</v>
      </c>
    </row>
  </sheetData>
  <sheetProtection password="CC51" sheet="1" objects="1" scenarios="1"/>
  <mergeCells count="18">
    <mergeCell ref="C56:H56"/>
    <mergeCell ref="D31:H31"/>
    <mergeCell ref="D32:H32"/>
    <mergeCell ref="D48:H48"/>
    <mergeCell ref="D49:H49"/>
    <mergeCell ref="D51:H51"/>
    <mergeCell ref="D53:H53"/>
    <mergeCell ref="C55:H55"/>
    <mergeCell ref="C1:I4"/>
    <mergeCell ref="D44:H44"/>
    <mergeCell ref="D46:H46"/>
    <mergeCell ref="C7:C8"/>
    <mergeCell ref="D7:D8"/>
    <mergeCell ref="E7:E8"/>
    <mergeCell ref="F7:G7"/>
    <mergeCell ref="H7:I7"/>
    <mergeCell ref="D30:H30"/>
    <mergeCell ref="C5:I5"/>
  </mergeCells>
  <printOptions horizontalCentered="1"/>
  <pageMargins left="0.39370078740157483" right="0.39370078740157483" top="0.39370078740157483" bottom="0.39370078740157483" header="0.51181102362204722" footer="0.51181102362204722"/>
  <pageSetup paperSize="260" scale="70" orientation="portrait" horizontalDpi="4294967295" verticalDpi="300" r:id="rId1"/>
  <headerFooter alignWithMargins="0">
    <oddFooter>&amp;L&amp;8&amp;F/&amp;A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J56"/>
  <sheetViews>
    <sheetView showGridLines="0" zoomScale="85" zoomScaleNormal="85" workbookViewId="0">
      <selection activeCell="K27" sqref="K27"/>
    </sheetView>
  </sheetViews>
  <sheetFormatPr defaultColWidth="9.140625" defaultRowHeight="12.75" x14ac:dyDescent="0.2"/>
  <cols>
    <col min="1" max="1" width="3.42578125" style="5" customWidth="1"/>
    <col min="2" max="2" width="3.85546875" style="5" customWidth="1"/>
    <col min="3" max="3" width="7" style="5" customWidth="1"/>
    <col min="4" max="4" width="50.140625" style="5" customWidth="1"/>
    <col min="5" max="5" width="9.140625" style="5" bestFit="1" customWidth="1"/>
    <col min="6" max="6" width="8.7109375" style="5" bestFit="1" customWidth="1"/>
    <col min="7" max="7" width="10.42578125" style="5" customWidth="1"/>
    <col min="8" max="9" width="13.5703125" style="5" customWidth="1"/>
    <col min="10" max="10" width="12.85546875" style="5" customWidth="1"/>
    <col min="11" max="14" width="21.140625" style="5" customWidth="1"/>
    <col min="15" max="15" width="31.42578125" style="5" customWidth="1"/>
    <col min="16" max="17" width="19.85546875" style="5" customWidth="1"/>
    <col min="18" max="19" width="22.28515625" style="5" customWidth="1"/>
    <col min="20" max="20" width="21.5703125" style="5" customWidth="1"/>
    <col min="21" max="22" width="20" style="5" customWidth="1"/>
    <col min="23" max="23" width="21.85546875" style="5" customWidth="1"/>
    <col min="24" max="24" width="18.28515625" style="5" customWidth="1"/>
    <col min="25" max="25" width="16.140625" style="5" customWidth="1"/>
    <col min="26" max="16384" width="9.140625" style="5"/>
  </cols>
  <sheetData>
    <row r="1" spans="2:9" ht="15.75" customHeight="1" x14ac:dyDescent="0.2">
      <c r="C1" s="224" t="s">
        <v>210</v>
      </c>
      <c r="D1" s="224"/>
      <c r="E1" s="224"/>
      <c r="F1" s="224"/>
      <c r="G1" s="224"/>
      <c r="H1" s="224"/>
      <c r="I1" s="224"/>
    </row>
    <row r="2" spans="2:9" ht="15.75" customHeight="1" x14ac:dyDescent="0.2">
      <c r="C2" s="224"/>
      <c r="D2" s="224"/>
      <c r="E2" s="224"/>
      <c r="F2" s="224"/>
      <c r="G2" s="224"/>
      <c r="H2" s="224"/>
      <c r="I2" s="224"/>
    </row>
    <row r="3" spans="2:9" ht="12.75" customHeight="1" x14ac:dyDescent="0.2">
      <c r="C3" s="224"/>
      <c r="D3" s="224"/>
      <c r="E3" s="224"/>
      <c r="F3" s="224"/>
      <c r="G3" s="224"/>
      <c r="H3" s="224"/>
      <c r="I3" s="224"/>
    </row>
    <row r="4" spans="2:9" ht="12.75" customHeight="1" x14ac:dyDescent="0.2">
      <c r="C4" s="224"/>
      <c r="D4" s="224"/>
      <c r="E4" s="224"/>
      <c r="F4" s="224"/>
      <c r="G4" s="224"/>
      <c r="H4" s="224"/>
      <c r="I4" s="224"/>
    </row>
    <row r="5" spans="2:9" ht="18" x14ac:dyDescent="0.25">
      <c r="C5" s="1"/>
      <c r="D5" s="201"/>
      <c r="E5" s="201"/>
      <c r="F5" s="201"/>
      <c r="G5" s="201"/>
      <c r="H5" s="201"/>
      <c r="I5" s="2"/>
    </row>
    <row r="6" spans="2:9" x14ac:dyDescent="0.2">
      <c r="C6" s="6" t="s">
        <v>0</v>
      </c>
      <c r="H6" s="3"/>
      <c r="I6" s="4"/>
    </row>
    <row r="7" spans="2:9" ht="15" customHeight="1" x14ac:dyDescent="0.2">
      <c r="C7" s="202" t="s">
        <v>2</v>
      </c>
      <c r="D7" s="202" t="s">
        <v>3</v>
      </c>
      <c r="E7" s="202" t="s">
        <v>4</v>
      </c>
      <c r="F7" s="204" t="s">
        <v>194</v>
      </c>
      <c r="G7" s="204"/>
      <c r="H7" s="193" t="s">
        <v>5</v>
      </c>
      <c r="I7" s="195"/>
    </row>
    <row r="8" spans="2:9" x14ac:dyDescent="0.2">
      <c r="C8" s="203"/>
      <c r="D8" s="203"/>
      <c r="E8" s="203"/>
      <c r="F8" s="46" t="s">
        <v>195</v>
      </c>
      <c r="G8" s="46" t="s">
        <v>92</v>
      </c>
      <c r="H8" s="11" t="s">
        <v>6</v>
      </c>
      <c r="I8" s="11" t="s">
        <v>7</v>
      </c>
    </row>
    <row r="9" spans="2:9" x14ac:dyDescent="0.2">
      <c r="C9" s="36">
        <v>1</v>
      </c>
      <c r="D9" s="37" t="s">
        <v>8</v>
      </c>
      <c r="E9" s="38"/>
      <c r="F9" s="38"/>
      <c r="G9" s="41"/>
      <c r="H9" s="38"/>
      <c r="I9" s="38"/>
    </row>
    <row r="10" spans="2:9" x14ac:dyDescent="0.2">
      <c r="C10" s="36" t="s">
        <v>9</v>
      </c>
      <c r="D10" s="37" t="s">
        <v>55</v>
      </c>
      <c r="E10" s="38"/>
      <c r="F10" s="38"/>
      <c r="G10" s="41"/>
      <c r="H10" s="38"/>
      <c r="I10" s="38"/>
    </row>
    <row r="11" spans="2:9" x14ac:dyDescent="0.2">
      <c r="B11" s="5" t="s">
        <v>14</v>
      </c>
      <c r="C11" s="7" t="s">
        <v>11</v>
      </c>
      <c r="D11" s="8" t="s">
        <v>12</v>
      </c>
      <c r="E11" s="7" t="s">
        <v>13</v>
      </c>
      <c r="F11" s="162">
        <v>1</v>
      </c>
      <c r="G11" s="70">
        <f>ROUND(SUMIF('Produto 2 - Cálculo Esforço'!C:C,'2.2 Orç Dup e Amp_Capacid'!$B11,'Produto 2 - Cálculo Esforço'!J:J)/'Produto 2 - Cálculo Esforço'!$B$11,3)</f>
        <v>0</v>
      </c>
      <c r="H11" s="9">
        <f>SUMIF('Salários e Custos'!$H$8:$H$23,'2.2 Orç Dup e Amp_Capacid'!$B11,'Salários e Custos'!$F$8:$F$23)</f>
        <v>21182.87</v>
      </c>
      <c r="I11" s="9">
        <f>ROUND(H11*(F11*G11),2)</f>
        <v>0</v>
      </c>
    </row>
    <row r="12" spans="2:9" s="24" customFormat="1" x14ac:dyDescent="0.2">
      <c r="C12" s="36" t="s">
        <v>20</v>
      </c>
      <c r="D12" s="37" t="s">
        <v>10</v>
      </c>
      <c r="E12" s="38"/>
      <c r="F12" s="134"/>
      <c r="G12" s="41"/>
      <c r="H12" s="38"/>
      <c r="I12" s="38"/>
    </row>
    <row r="13" spans="2:9" s="24" customFormat="1" x14ac:dyDescent="0.2">
      <c r="B13" s="24" t="s">
        <v>15</v>
      </c>
      <c r="C13" s="7" t="s">
        <v>22</v>
      </c>
      <c r="D13" s="8" t="s">
        <v>95</v>
      </c>
      <c r="E13" s="7" t="s">
        <v>13</v>
      </c>
      <c r="F13" s="162">
        <v>1</v>
      </c>
      <c r="G13" s="70">
        <f>ROUND(SUMIF('Produto 2 - Cálculo Esforço'!C:C,'2.2 Orç Dup e Amp_Capacid'!$B13,'Produto 2 - Cálculo Esforço'!J:J)/'Produto 2 - Cálculo Esforço'!$B$11,3)</f>
        <v>0</v>
      </c>
      <c r="H13" s="9">
        <f>SUMIF('Salários e Custos'!$H$8:$H$23,'2.2 Orç Dup e Amp_Capacid'!$B13,'Salários e Custos'!$F$8:$F$23)</f>
        <v>18408.34</v>
      </c>
      <c r="I13" s="9">
        <f t="shared" ref="I13:I17" si="0">ROUND(H13*(F13*G13),2)</f>
        <v>0</v>
      </c>
    </row>
    <row r="14" spans="2:9" s="24" customFormat="1" x14ac:dyDescent="0.2">
      <c r="B14" s="24" t="s">
        <v>16</v>
      </c>
      <c r="C14" s="7" t="s">
        <v>24</v>
      </c>
      <c r="D14" s="8" t="s">
        <v>98</v>
      </c>
      <c r="E14" s="7" t="s">
        <v>13</v>
      </c>
      <c r="F14" s="162">
        <v>1</v>
      </c>
      <c r="G14" s="70">
        <f>ROUND(SUMIF('Produto 2 - Cálculo Esforço'!C:C,'2.2 Orç Dup e Amp_Capacid'!$B14,'Produto 2 - Cálculo Esforço'!J:J)/'Produto 2 - Cálculo Esforço'!$B$11,3)</f>
        <v>3.1360000000000001</v>
      </c>
      <c r="H14" s="9">
        <f>SUMIF('Salários e Custos'!$H$8:$H$23,'2.2 Orç Dup e Amp_Capacid'!$B14,'Salários e Custos'!$F$8:$F$23)</f>
        <v>14505.08</v>
      </c>
      <c r="I14" s="9">
        <f t="shared" si="0"/>
        <v>45487.93</v>
      </c>
    </row>
    <row r="15" spans="2:9" s="24" customFormat="1" x14ac:dyDescent="0.2">
      <c r="B15" s="24" t="s">
        <v>17</v>
      </c>
      <c r="C15" s="7" t="s">
        <v>27</v>
      </c>
      <c r="D15" s="8" t="s">
        <v>96</v>
      </c>
      <c r="E15" s="7" t="s">
        <v>13</v>
      </c>
      <c r="F15" s="162">
        <v>1</v>
      </c>
      <c r="G15" s="70">
        <f>ROUND(SUMIF('Produto 2 - Cálculo Esforço'!C:C,'2.2 Orç Dup e Amp_Capacid'!$B15,'Produto 2 - Cálculo Esforço'!J:J)/'Produto 2 - Cálculo Esforço'!$B$11,3)</f>
        <v>3.2269999999999999</v>
      </c>
      <c r="H15" s="9">
        <f>SUMIF('Salários e Custos'!$H$8:$H$23,'2.2 Orç Dup e Amp_Capacid'!$B15,'Salários e Custos'!$F$8:$F$23)</f>
        <v>11347.68</v>
      </c>
      <c r="I15" s="9">
        <f t="shared" si="0"/>
        <v>36618.959999999999</v>
      </c>
    </row>
    <row r="16" spans="2:9" s="24" customFormat="1" x14ac:dyDescent="0.2">
      <c r="B16" s="24" t="s">
        <v>18</v>
      </c>
      <c r="C16" s="7" t="s">
        <v>24</v>
      </c>
      <c r="D16" s="8" t="s">
        <v>97</v>
      </c>
      <c r="E16" s="7" t="s">
        <v>13</v>
      </c>
      <c r="F16" s="162">
        <v>1</v>
      </c>
      <c r="G16" s="70">
        <f>ROUND(SUMIF('Produto 2 - Cálculo Esforço'!C:C,'2.2 Orç Dup e Amp_Capacid'!$B16,'Produto 2 - Cálculo Esforço'!J:J)/'Produto 2 - Cálculo Esforço'!$B$11,3)</f>
        <v>4.2270000000000003</v>
      </c>
      <c r="H16" s="9">
        <f>SUMIF('Salários e Custos'!$H$8:$H$23,'2.2 Orç Dup e Amp_Capacid'!$B16,'Salários e Custos'!$F$8:$F$23)</f>
        <v>9335.82</v>
      </c>
      <c r="I16" s="9">
        <f t="shared" si="0"/>
        <v>39462.51</v>
      </c>
    </row>
    <row r="17" spans="2:9" s="24" customFormat="1" x14ac:dyDescent="0.2">
      <c r="B17" s="24" t="s">
        <v>19</v>
      </c>
      <c r="C17" s="7" t="s">
        <v>30</v>
      </c>
      <c r="D17" s="8" t="s">
        <v>99</v>
      </c>
      <c r="E17" s="7" t="s">
        <v>13</v>
      </c>
      <c r="F17" s="162">
        <v>1</v>
      </c>
      <c r="G17" s="70">
        <f>ROUND(SUMIF('Produto 2 - Cálculo Esforço'!C:C,'2.2 Orç Dup e Amp_Capacid'!$B17,'Produto 2 - Cálculo Esforço'!J:J)/'Produto 2 - Cálculo Esforço'!$B$11,3)</f>
        <v>2.2269999999999999</v>
      </c>
      <c r="H17" s="9">
        <f>SUMIF('Salários e Custos'!$H$8:$H$23,'2.2 Orç Dup e Amp_Capacid'!$B17,'Salários e Custos'!$F$8:$F$23)</f>
        <v>8882.5</v>
      </c>
      <c r="I17" s="9">
        <f t="shared" si="0"/>
        <v>19781.330000000002</v>
      </c>
    </row>
    <row r="18" spans="2:9" s="24" customFormat="1" x14ac:dyDescent="0.2">
      <c r="C18" s="36" t="s">
        <v>32</v>
      </c>
      <c r="D18" s="37" t="s">
        <v>21</v>
      </c>
      <c r="E18" s="39"/>
      <c r="F18" s="135"/>
      <c r="G18" s="42"/>
      <c r="H18" s="40"/>
      <c r="I18" s="40"/>
    </row>
    <row r="19" spans="2:9" s="24" customFormat="1" x14ac:dyDescent="0.2">
      <c r="B19" s="24" t="s">
        <v>23</v>
      </c>
      <c r="C19" s="7" t="s">
        <v>33</v>
      </c>
      <c r="D19" s="8" t="s">
        <v>100</v>
      </c>
      <c r="E19" s="7" t="s">
        <v>13</v>
      </c>
      <c r="F19" s="162">
        <v>1</v>
      </c>
      <c r="G19" s="70">
        <f>ROUND(SUMIF('Produto 2 - Cálculo Esforço'!C:C,'2.2 Orç Dup e Amp_Capacid'!$B19,'Produto 2 - Cálculo Esforço'!J:J)/'Produto 2 - Cálculo Esforço'!$B$11,3)</f>
        <v>0</v>
      </c>
      <c r="H19" s="9">
        <f>SUMIF('Salários e Custos'!$H$8:$H$23,'2.2 Orç Dup e Amp_Capacid'!$B19,'Salários e Custos'!$F$8:$F$23)</f>
        <v>6576.05</v>
      </c>
      <c r="I19" s="9">
        <f t="shared" ref="I19:I23" si="1">ROUND(H19*(F19*G19),2)</f>
        <v>0</v>
      </c>
    </row>
    <row r="20" spans="2:9" ht="12.75" customHeight="1" x14ac:dyDescent="0.2">
      <c r="B20" s="5" t="s">
        <v>26</v>
      </c>
      <c r="C20" s="7" t="s">
        <v>36</v>
      </c>
      <c r="D20" s="8" t="s">
        <v>25</v>
      </c>
      <c r="E20" s="7" t="s">
        <v>13</v>
      </c>
      <c r="F20" s="162">
        <v>1</v>
      </c>
      <c r="G20" s="70">
        <f>ROUND(SUMIF('Produto 2 - Cálculo Esforço'!C:C,'2.2 Orç Dup e Amp_Capacid'!$B20,'Produto 2 - Cálculo Esforço'!J:J)/'Produto 2 - Cálculo Esforço'!$B$11,3)</f>
        <v>3.9550000000000001</v>
      </c>
      <c r="H20" s="9">
        <f>SUMIF('Salários e Custos'!$H$8:$H$23,'2.2 Orç Dup e Amp_Capacid'!$B20,'Salários e Custos'!$F$8:$F$23)</f>
        <v>5015.7</v>
      </c>
      <c r="I20" s="9">
        <f t="shared" si="1"/>
        <v>19837.09</v>
      </c>
    </row>
    <row r="21" spans="2:9" ht="12.75" customHeight="1" x14ac:dyDescent="0.2">
      <c r="B21" s="5" t="s">
        <v>28</v>
      </c>
      <c r="C21" s="7" t="s">
        <v>38</v>
      </c>
      <c r="D21" s="8" t="s">
        <v>89</v>
      </c>
      <c r="E21" s="7" t="s">
        <v>13</v>
      </c>
      <c r="F21" s="162">
        <v>1</v>
      </c>
      <c r="G21" s="70">
        <f>ROUND(SUMIF('Produto 2 - Cálculo Esforço'!C:C,'2.2 Orç Dup e Amp_Capacid'!$B21,'Produto 2 - Cálculo Esforço'!J:J)/'Produto 2 - Cálculo Esforço'!$B$11,3)</f>
        <v>9.0999999999999998E-2</v>
      </c>
      <c r="H21" s="9">
        <f>SUMIF('Salários e Custos'!$H$8:$H$23,'2.2 Orç Dup e Amp_Capacid'!$B21,'Salários e Custos'!$F$8:$F$23)</f>
        <v>3793.13</v>
      </c>
      <c r="I21" s="9">
        <f t="shared" si="1"/>
        <v>345.17</v>
      </c>
    </row>
    <row r="22" spans="2:9" ht="12.75" customHeight="1" x14ac:dyDescent="0.2">
      <c r="B22" s="5" t="s">
        <v>29</v>
      </c>
      <c r="C22" s="7" t="s">
        <v>50</v>
      </c>
      <c r="D22" s="8" t="s">
        <v>90</v>
      </c>
      <c r="E22" s="7" t="s">
        <v>13</v>
      </c>
      <c r="F22" s="162">
        <v>1</v>
      </c>
      <c r="G22" s="70">
        <f>ROUND(SUMIF('Produto 2 - Cálculo Esforço'!C:C,'2.2 Orç Dup e Amp_Capacid'!$B22,'Produto 2 - Cálculo Esforço'!J:J)/'Produto 2 - Cálculo Esforço'!$B$11,3)</f>
        <v>0.81799999999999995</v>
      </c>
      <c r="H22" s="9">
        <f>SUMIF('Salários e Custos'!$H$8:$H$23,'2.2 Orç Dup e Amp_Capacid'!$B22,'Salários e Custos'!$F$8:$F$23)</f>
        <v>3044.5</v>
      </c>
      <c r="I22" s="9">
        <f t="shared" si="1"/>
        <v>2490.4</v>
      </c>
    </row>
    <row r="23" spans="2:9" ht="12.75" customHeight="1" x14ac:dyDescent="0.2">
      <c r="B23" s="5" t="s">
        <v>31</v>
      </c>
      <c r="C23" s="7" t="s">
        <v>51</v>
      </c>
      <c r="D23" s="8" t="s">
        <v>91</v>
      </c>
      <c r="E23" s="7" t="s">
        <v>13</v>
      </c>
      <c r="F23" s="162">
        <v>1</v>
      </c>
      <c r="G23" s="70">
        <f>ROUND(SUMIF('Produto 2 - Cálculo Esforço'!C:C,'2.2 Orç Dup e Amp_Capacid'!$B23,'Produto 2 - Cálculo Esforço'!J:J)/'Produto 2 - Cálculo Esforço'!$B$11,3)</f>
        <v>1</v>
      </c>
      <c r="H23" s="9">
        <f>SUMIF('Salários e Custos'!$H$8:$H$23,'2.2 Orç Dup e Amp_Capacid'!$B23,'Salários e Custos'!$F$8:$F$23)</f>
        <v>2274.4299999999998</v>
      </c>
      <c r="I23" s="9">
        <f t="shared" si="1"/>
        <v>2274.4299999999998</v>
      </c>
    </row>
    <row r="24" spans="2:9" ht="12.75" customHeight="1" x14ac:dyDescent="0.2">
      <c r="C24" s="36" t="s">
        <v>52</v>
      </c>
      <c r="D24" s="37" t="s">
        <v>81</v>
      </c>
      <c r="E24" s="39"/>
      <c r="F24" s="135"/>
      <c r="G24" s="42"/>
      <c r="H24" s="40"/>
      <c r="I24" s="40"/>
    </row>
    <row r="25" spans="2:9" ht="12.75" customHeight="1" x14ac:dyDescent="0.2">
      <c r="B25" s="5" t="s">
        <v>35</v>
      </c>
      <c r="C25" s="7" t="s">
        <v>53</v>
      </c>
      <c r="D25" s="8" t="s">
        <v>34</v>
      </c>
      <c r="E25" s="7" t="s">
        <v>13</v>
      </c>
      <c r="F25" s="162">
        <v>1</v>
      </c>
      <c r="G25" s="70">
        <f>ROUND(SUMIF('Produto 2 - Cálculo Esforço'!C:C,'2.2 Orç Dup e Amp_Capacid'!$B25,'Produto 2 - Cálculo Esforço'!J:J)/'Produto 2 - Cálculo Esforço'!$B$11,3)</f>
        <v>0</v>
      </c>
      <c r="H25" s="9">
        <f>SUMIF('Salários e Custos'!$H$8:$H$23,'2.2 Orç Dup e Amp_Capacid'!$B25,'Salários e Custos'!$F$8:$F$23)</f>
        <v>5268.86</v>
      </c>
      <c r="I25" s="9">
        <f t="shared" ref="I25:I28" si="2">ROUND(H25*(F25*G25),2)</f>
        <v>0</v>
      </c>
    </row>
    <row r="26" spans="2:9" ht="12.75" customHeight="1" x14ac:dyDescent="0.2">
      <c r="B26" s="5" t="s">
        <v>37</v>
      </c>
      <c r="C26" s="7" t="s">
        <v>53</v>
      </c>
      <c r="D26" s="44" t="s">
        <v>83</v>
      </c>
      <c r="E26" s="7" t="s">
        <v>13</v>
      </c>
      <c r="F26" s="162">
        <v>1</v>
      </c>
      <c r="G26" s="70">
        <f>ROUND(SUMIF('Produto 2 - Cálculo Esforço'!C:C,'2.2 Orç Dup e Amp_Capacid'!$B26,'Produto 2 - Cálculo Esforço'!J:J)/'Produto 2 - Cálculo Esforço'!$B$11,3)</f>
        <v>0</v>
      </c>
      <c r="H26" s="9">
        <f>SUMIF('Salários e Custos'!$H$8:$H$23,'2.2 Orç Dup e Amp_Capacid'!$B26,'Salários e Custos'!$F$8:$F$23)</f>
        <v>3164.02</v>
      </c>
      <c r="I26" s="9">
        <f t="shared" si="2"/>
        <v>0</v>
      </c>
    </row>
    <row r="27" spans="2:9" x14ac:dyDescent="0.2">
      <c r="B27" s="5" t="s">
        <v>39</v>
      </c>
      <c r="C27" s="7" t="s">
        <v>54</v>
      </c>
      <c r="D27" s="44" t="s">
        <v>85</v>
      </c>
      <c r="E27" s="7" t="s">
        <v>13</v>
      </c>
      <c r="F27" s="162">
        <v>1</v>
      </c>
      <c r="G27" s="70">
        <f>ROUND(SUMIF('Produto 2 - Cálculo Esforço'!C:C,'2.2 Orç Dup e Amp_Capacid'!$B27,'Produto 2 - Cálculo Esforço'!J:J)/'Produto 2 - Cálculo Esforço'!$B$11,3)</f>
        <v>0.22700000000000001</v>
      </c>
      <c r="H27" s="9">
        <f>SUMIF('Salários e Custos'!$H$8:$H$23,'2.2 Orç Dup e Amp_Capacid'!$B27,'Salários e Custos'!$F$8:$F$23)</f>
        <v>2044.22</v>
      </c>
      <c r="I27" s="9">
        <f t="shared" si="2"/>
        <v>464.04</v>
      </c>
    </row>
    <row r="28" spans="2:9" x14ac:dyDescent="0.2">
      <c r="B28" s="5" t="s">
        <v>56</v>
      </c>
      <c r="C28" s="7" t="s">
        <v>54</v>
      </c>
      <c r="D28" s="44" t="s">
        <v>86</v>
      </c>
      <c r="E28" s="7" t="s">
        <v>13</v>
      </c>
      <c r="F28" s="162">
        <v>1</v>
      </c>
      <c r="G28" s="70">
        <f>ROUND(SUMIF('Produto 2 - Cálculo Esforço'!C:C,'2.2 Orç Dup e Amp_Capacid'!$B28,'Produto 2 - Cálculo Esforço'!J:J)/'Produto 2 - Cálculo Esforço'!$B$11,3)</f>
        <v>0.182</v>
      </c>
      <c r="H28" s="9">
        <f>SUMIF('Salários e Custos'!$H$8:$H$32,'2.2 Orç Dup e Amp_Capacid'!$B28,'Salários e Custos'!$F$8:$F$32)</f>
        <v>1782.1</v>
      </c>
      <c r="I28" s="9">
        <f t="shared" si="2"/>
        <v>324.33999999999997</v>
      </c>
    </row>
    <row r="29" spans="2:9" x14ac:dyDescent="0.2">
      <c r="C29" s="26"/>
      <c r="D29" s="27"/>
      <c r="E29" s="27"/>
      <c r="F29" s="27"/>
      <c r="G29" s="27"/>
      <c r="H29" s="27"/>
      <c r="I29" s="28"/>
    </row>
    <row r="30" spans="2:9" ht="15" customHeight="1" x14ac:dyDescent="0.2">
      <c r="C30" s="11" t="s">
        <v>40</v>
      </c>
      <c r="D30" s="196" t="s">
        <v>41</v>
      </c>
      <c r="E30" s="197"/>
      <c r="F30" s="197"/>
      <c r="G30" s="197"/>
      <c r="H30" s="198"/>
      <c r="I30" s="12">
        <f>SUM(I11:I29)</f>
        <v>167086.19999999998</v>
      </c>
    </row>
    <row r="31" spans="2:9" ht="15.75" customHeight="1" x14ac:dyDescent="0.2">
      <c r="C31" s="11" t="s">
        <v>42</v>
      </c>
      <c r="D31" s="196" t="s">
        <v>213</v>
      </c>
      <c r="E31" s="197"/>
      <c r="F31" s="197"/>
      <c r="G31" s="197"/>
      <c r="H31" s="198"/>
      <c r="I31" s="12">
        <f>ROUND(+SUM(I13:I28)*'Salários e Custos'!F38+I11*'Salários e Custos'!F37,2)</f>
        <v>140419.24</v>
      </c>
    </row>
    <row r="32" spans="2:9" ht="15.75" customHeight="1" x14ac:dyDescent="0.2">
      <c r="C32" s="11" t="s">
        <v>43</v>
      </c>
      <c r="D32" s="196" t="s">
        <v>214</v>
      </c>
      <c r="E32" s="197"/>
      <c r="F32" s="197"/>
      <c r="G32" s="197"/>
      <c r="H32" s="198"/>
      <c r="I32" s="14">
        <f>ROUND((+I30-I11)*'Salários e Custos'!F39,2)</f>
        <v>33417.24</v>
      </c>
    </row>
    <row r="33" spans="2:9" ht="15.75" customHeight="1" x14ac:dyDescent="0.2">
      <c r="C33" s="45"/>
      <c r="D33" s="15"/>
      <c r="E33" s="15"/>
      <c r="F33" s="15"/>
      <c r="G33" s="15"/>
      <c r="H33" s="15"/>
      <c r="I33" s="16"/>
    </row>
    <row r="34" spans="2:9" s="6" customFormat="1" ht="15.75" customHeight="1" x14ac:dyDescent="0.2">
      <c r="C34" s="11">
        <v>2</v>
      </c>
      <c r="D34" s="13" t="s">
        <v>44</v>
      </c>
      <c r="E34" s="13"/>
      <c r="F34" s="13"/>
      <c r="G34" s="13"/>
      <c r="H34" s="13"/>
      <c r="I34" s="12"/>
    </row>
    <row r="35" spans="2:9" ht="15.75" customHeight="1" x14ac:dyDescent="0.2">
      <c r="B35" s="5" t="s">
        <v>170</v>
      </c>
      <c r="C35" s="7" t="s">
        <v>45</v>
      </c>
      <c r="D35" s="65" t="s">
        <v>132</v>
      </c>
      <c r="E35" s="7" t="s">
        <v>13</v>
      </c>
      <c r="F35" s="162">
        <v>1</v>
      </c>
      <c r="G35" s="142">
        <f>ROUND('Produto 2 - Cálculo Esforço'!J19/'Produto 2 - Cálculo Esforço'!B11,3)</f>
        <v>4.4999999999999998E-2</v>
      </c>
      <c r="H35" s="9">
        <f>SUMIF('Salários e Custos'!$H$8:$H$32,'2.1 Orç Reab e Rest'!$B35,'Salários e Custos'!$F$8:$F$32)</f>
        <v>1860.06</v>
      </c>
      <c r="I35" s="9">
        <f t="shared" ref="I35:I43" si="3">ROUND(H35*(F35*G35),2)</f>
        <v>83.7</v>
      </c>
    </row>
    <row r="36" spans="2:9" ht="15.75" customHeight="1" x14ac:dyDescent="0.2">
      <c r="B36" s="5" t="s">
        <v>171</v>
      </c>
      <c r="C36" s="7" t="s">
        <v>162</v>
      </c>
      <c r="D36" s="65" t="s">
        <v>133</v>
      </c>
      <c r="E36" s="7" t="s">
        <v>13</v>
      </c>
      <c r="F36" s="162">
        <v>1</v>
      </c>
      <c r="G36" s="143">
        <f>ROUND(('Produto 2 - Cálculo Esforço'!J19+'Produto 2 - Cálculo Esforço'!J104)/'Produto 2 - Cálculo Esforço'!B11,3)</f>
        <v>0.72699999999999998</v>
      </c>
      <c r="H36" s="9">
        <f>SUMIF('Salários e Custos'!$H$8:$H$32,'2.1 Orç Reab e Rest'!$B36,'Salários e Custos'!$F$8:$F$32)</f>
        <v>326.83999999999997</v>
      </c>
      <c r="I36" s="9">
        <f t="shared" si="3"/>
        <v>237.61</v>
      </c>
    </row>
    <row r="37" spans="2:9" ht="15.75" customHeight="1" x14ac:dyDescent="0.2">
      <c r="B37" s="5" t="s">
        <v>172</v>
      </c>
      <c r="C37" s="7" t="s">
        <v>121</v>
      </c>
      <c r="D37" s="65" t="s">
        <v>134</v>
      </c>
      <c r="E37" s="7" t="s">
        <v>13</v>
      </c>
      <c r="F37" s="162">
        <v>1</v>
      </c>
      <c r="G37" s="143">
        <f>ROUND('Produto 2 - Cálculo Esforço'!J27/'Produto 2 - Cálculo Esforço'!B11,3)</f>
        <v>9.0999999999999998E-2</v>
      </c>
      <c r="H37" s="9">
        <f>SUMIF('Salários e Custos'!$H$8:$H$32,'2.1 Orç Reab e Rest'!$B37,'Salários e Custos'!$F$8:$F$32)</f>
        <v>1705.77</v>
      </c>
      <c r="I37" s="9">
        <f t="shared" si="3"/>
        <v>155.22999999999999</v>
      </c>
    </row>
    <row r="38" spans="2:9" ht="15.75" customHeight="1" x14ac:dyDescent="0.2">
      <c r="B38" s="5" t="s">
        <v>173</v>
      </c>
      <c r="C38" s="7" t="s">
        <v>163</v>
      </c>
      <c r="D38" s="65" t="s">
        <v>135</v>
      </c>
      <c r="E38" s="7" t="s">
        <v>13</v>
      </c>
      <c r="F38" s="162">
        <v>1</v>
      </c>
      <c r="G38" s="143">
        <f>ROUND('Produto 2 - Cálculo Esforço'!J24/'Produto 2 - Cálculo Esforço'!B11,3)</f>
        <v>0.13600000000000001</v>
      </c>
      <c r="H38" s="9">
        <f>SUMIF('Salários e Custos'!$H$8:$H$32,'2.1 Orç Reab e Rest'!$B38,'Salários e Custos'!$F$8:$F$32)</f>
        <v>2638.67</v>
      </c>
      <c r="I38" s="9">
        <f t="shared" si="3"/>
        <v>358.86</v>
      </c>
    </row>
    <row r="39" spans="2:9" ht="15.75" customHeight="1" x14ac:dyDescent="0.2">
      <c r="B39" s="5" t="s">
        <v>174</v>
      </c>
      <c r="C39" s="7" t="s">
        <v>164</v>
      </c>
      <c r="D39" s="65" t="s">
        <v>136</v>
      </c>
      <c r="E39" s="7" t="s">
        <v>13</v>
      </c>
      <c r="F39" s="162">
        <v>1</v>
      </c>
      <c r="G39" s="143">
        <f>ROUND('Produto 2 - Cálculo Esforço'!J24/'Produto 2 - Cálculo Esforço'!B11,3)</f>
        <v>0.13600000000000001</v>
      </c>
      <c r="H39" s="9">
        <f>SUMIF('Salários e Custos'!$H$8:$H$32,'2.1 Orç Reab e Rest'!$B39,'Salários e Custos'!$F$8:$F$32)</f>
        <v>4077.93</v>
      </c>
      <c r="I39" s="9">
        <f t="shared" si="3"/>
        <v>554.6</v>
      </c>
    </row>
    <row r="40" spans="2:9" ht="15.75" customHeight="1" x14ac:dyDescent="0.2">
      <c r="B40" s="5" t="s">
        <v>120</v>
      </c>
      <c r="C40" s="7" t="s">
        <v>165</v>
      </c>
      <c r="D40" s="65" t="s">
        <v>144</v>
      </c>
      <c r="E40" s="7" t="s">
        <v>13</v>
      </c>
      <c r="F40" s="162">
        <v>1</v>
      </c>
      <c r="G40" s="143">
        <f>ROUND(SUM(G11:G23),3)</f>
        <v>18.681000000000001</v>
      </c>
      <c r="H40" s="9">
        <f>SUMIF('Salários e Custos'!$H$8:$H$32,'2.1 Orç Reab e Rest'!$B40,'Salários e Custos'!$F$8:$F$32)</f>
        <v>171.37</v>
      </c>
      <c r="I40" s="9">
        <f t="shared" si="3"/>
        <v>3201.36</v>
      </c>
    </row>
    <row r="41" spans="2:9" ht="15.75" customHeight="1" x14ac:dyDescent="0.2">
      <c r="B41" s="5" t="s">
        <v>175</v>
      </c>
      <c r="C41" s="7" t="s">
        <v>166</v>
      </c>
      <c r="D41" s="65" t="s">
        <v>129</v>
      </c>
      <c r="E41" s="7" t="s">
        <v>13</v>
      </c>
      <c r="F41" s="162">
        <v>1</v>
      </c>
      <c r="G41" s="143">
        <f>ROUND(('Produto 2 - Cálculo Esforço'!J15+'Produto 2 - Cálculo Esforço'!J30/2+'Produto 2 - Cálculo Esforço'!J34/3+'Produto 2 - Cálculo Esforço'!J38/3+'Produto 2 - Cálculo Esforço'!J42/3+'Produto 2 - Cálculo Esforço'!J46/2+'Produto 2 - Cálculo Esforço'!J56/5+'Produto 2 - Cálculo Esforço'!J60/5+'Produto 2 - Cálculo Esforço'!J64/5+'Produto 2 - Cálculo Esforço'!J67/5+'Produto 2 - Cálculo Esforço'!J71/5+'Produto 2 - Cálculo Esforço'!J75/5+'Produto 2 - Cálculo Esforço'!J79/4+'Produto 2 - Cálculo Esforço'!J84/5+'Produto 2 - Cálculo Esforço'!J87/5+'Produto 2 - Cálculo Esforço'!J91/4+'Produto 2 - Cálculo Esforço'!J95/2+'Produto 2 - Cálculo Esforço'!J105/5+'Produto 2 - Cálculo Esforço'!J107/2+'Produto 2 - Cálculo Esforço'!J112/3+'Produto 2 - Cálculo Esforço'!J117/2+'Produto 2 - Cálculo Esforço'!J121/4+'Produto 2 - Cálculo Esforço'!J123/3+'Produto 2 - Cálculo Esforço'!J129/5)/'Produto 2 - Cálculo Esforço'!B11,3)</f>
        <v>1.86</v>
      </c>
      <c r="H41" s="9">
        <f>SUMIF('Salários e Custos'!$H$8:$H$32,'2.1 Orç Reab e Rest'!$B41,'Salários e Custos'!$F$8:$F$32)</f>
        <v>3366.25</v>
      </c>
      <c r="I41" s="9">
        <f t="shared" si="3"/>
        <v>6261.23</v>
      </c>
    </row>
    <row r="42" spans="2:9" ht="15.75" customHeight="1" x14ac:dyDescent="0.2">
      <c r="B42" s="5" t="s">
        <v>176</v>
      </c>
      <c r="C42" s="7" t="s">
        <v>167</v>
      </c>
      <c r="D42" s="65" t="s">
        <v>130</v>
      </c>
      <c r="E42" s="7" t="s">
        <v>13</v>
      </c>
      <c r="F42" s="162">
        <v>1</v>
      </c>
      <c r="G42" s="143">
        <f>ROUND(('Produto 2 - Cálculo Esforço'!J19+'Produto 2 - Cálculo Esforço'!J23+'Produto 2 - Cálculo Esforço'!J27)/'Produto 2 - Cálculo Esforço'!B11,3)</f>
        <v>0.27300000000000002</v>
      </c>
      <c r="H42" s="9">
        <f>SUMIF('Salários e Custos'!$H$8:$H$32,'2.1 Orç Reab e Rest'!$B42,'Salários e Custos'!$F$8:$F$32)</f>
        <v>3561.89</v>
      </c>
      <c r="I42" s="9">
        <f t="shared" si="3"/>
        <v>972.4</v>
      </c>
    </row>
    <row r="43" spans="2:9" ht="15.75" customHeight="1" x14ac:dyDescent="0.2">
      <c r="B43" s="5" t="s">
        <v>177</v>
      </c>
      <c r="C43" s="7" t="s">
        <v>168</v>
      </c>
      <c r="D43" s="29" t="s">
        <v>131</v>
      </c>
      <c r="E43" s="7" t="s">
        <v>13</v>
      </c>
      <c r="F43" s="162">
        <v>1</v>
      </c>
      <c r="G43" s="142">
        <f>ROUND('Produto 2 - Cálculo Esforço'!J27/'Produto 2 - Cálculo Esforço'!B11,3)</f>
        <v>9.0999999999999998E-2</v>
      </c>
      <c r="H43" s="9">
        <f>SUMIF('Salários e Custos'!$H$8:$H$32,'2.1 Orç Reab e Rest'!$B43,'Salários e Custos'!$F$8:$F$32)</f>
        <v>11311.06</v>
      </c>
      <c r="I43" s="9">
        <f t="shared" si="3"/>
        <v>1029.31</v>
      </c>
    </row>
    <row r="44" spans="2:9" ht="15.75" customHeight="1" x14ac:dyDescent="0.2">
      <c r="C44" s="11" t="s">
        <v>46</v>
      </c>
      <c r="D44" s="193" t="s">
        <v>47</v>
      </c>
      <c r="E44" s="194"/>
      <c r="F44" s="194"/>
      <c r="G44" s="194"/>
      <c r="H44" s="195"/>
      <c r="I44" s="17">
        <f>SUM(I35:I43)</f>
        <v>12854.3</v>
      </c>
    </row>
    <row r="45" spans="2:9" ht="15.75" customHeight="1" x14ac:dyDescent="0.2">
      <c r="C45" s="18"/>
      <c r="D45" s="15"/>
      <c r="E45" s="15"/>
      <c r="F45" s="15"/>
      <c r="G45" s="15"/>
      <c r="H45" s="15"/>
      <c r="I45" s="16"/>
    </row>
    <row r="46" spans="2:9" ht="15.75" customHeight="1" x14ac:dyDescent="0.2">
      <c r="C46" s="7" t="s">
        <v>204</v>
      </c>
      <c r="D46" s="190" t="s">
        <v>187</v>
      </c>
      <c r="E46" s="191"/>
      <c r="F46" s="191"/>
      <c r="G46" s="191"/>
      <c r="H46" s="192"/>
      <c r="I46" s="19">
        <f>I30+I31+I32+I44</f>
        <v>353776.97999999992</v>
      </c>
    </row>
    <row r="47" spans="2:9" ht="15.75" customHeight="1" x14ac:dyDescent="0.2">
      <c r="C47" s="18"/>
      <c r="D47" s="15"/>
      <c r="E47" s="15"/>
      <c r="F47" s="15"/>
      <c r="G47" s="15"/>
      <c r="H47" s="15"/>
      <c r="I47" s="21"/>
    </row>
    <row r="48" spans="2:9" ht="15.75" customHeight="1" x14ac:dyDescent="0.2">
      <c r="C48" s="7" t="s">
        <v>48</v>
      </c>
      <c r="D48" s="193" t="s">
        <v>49</v>
      </c>
      <c r="E48" s="194"/>
      <c r="F48" s="194"/>
      <c r="G48" s="194"/>
      <c r="H48" s="195"/>
      <c r="I48" s="23"/>
    </row>
    <row r="49" spans="3:10" ht="15.75" customHeight="1" x14ac:dyDescent="0.2">
      <c r="C49" s="7" t="s">
        <v>185</v>
      </c>
      <c r="D49" s="190" t="s">
        <v>219</v>
      </c>
      <c r="E49" s="191"/>
      <c r="F49" s="191"/>
      <c r="G49" s="191"/>
      <c r="H49" s="192"/>
      <c r="I49" s="19">
        <f>ROUND(+I46*'Salários e Custos'!F40,2)</f>
        <v>42453.24</v>
      </c>
    </row>
    <row r="50" spans="3:10" ht="15.75" customHeight="1" x14ac:dyDescent="0.2">
      <c r="C50" s="121"/>
      <c r="D50" s="15"/>
      <c r="E50" s="15"/>
      <c r="F50" s="15"/>
      <c r="G50" s="15"/>
      <c r="H50" s="15"/>
      <c r="I50" s="21"/>
    </row>
    <row r="51" spans="3:10" ht="15.75" customHeight="1" x14ac:dyDescent="0.2">
      <c r="C51" s="7" t="s">
        <v>205</v>
      </c>
      <c r="D51" s="190" t="s">
        <v>188</v>
      </c>
      <c r="E51" s="191"/>
      <c r="F51" s="191"/>
      <c r="G51" s="191"/>
      <c r="H51" s="192"/>
      <c r="I51" s="19">
        <f>+I46+I49</f>
        <v>396230.21999999991</v>
      </c>
    </row>
    <row r="52" spans="3:10" ht="15.75" customHeight="1" x14ac:dyDescent="0.2">
      <c r="C52" s="7"/>
      <c r="D52" s="121"/>
      <c r="E52" s="122"/>
      <c r="F52" s="122"/>
      <c r="G52" s="122"/>
      <c r="H52" s="123"/>
      <c r="I52" s="21"/>
      <c r="J52" s="63"/>
    </row>
    <row r="53" spans="3:10" ht="15.75" customHeight="1" x14ac:dyDescent="0.25">
      <c r="C53" s="7" t="s">
        <v>186</v>
      </c>
      <c r="D53" s="190" t="s">
        <v>218</v>
      </c>
      <c r="E53" s="191"/>
      <c r="F53" s="191"/>
      <c r="G53" s="191"/>
      <c r="H53" s="192"/>
      <c r="I53" s="19">
        <f>ROUND(+I51*'Salários e Custos'!F41,2)</f>
        <v>65853.460000000006</v>
      </c>
      <c r="J53" s="64"/>
    </row>
    <row r="54" spans="3:10" ht="15.75" customHeight="1" x14ac:dyDescent="0.2">
      <c r="C54" s="18"/>
      <c r="D54" s="15"/>
      <c r="E54" s="15"/>
      <c r="F54" s="15"/>
      <c r="G54" s="15"/>
      <c r="H54" s="15"/>
      <c r="I54" s="96"/>
      <c r="J54" s="82"/>
    </row>
    <row r="55" spans="3:10" s="6" customFormat="1" ht="15.75" customHeight="1" x14ac:dyDescent="0.25">
      <c r="C55" s="193" t="s">
        <v>196</v>
      </c>
      <c r="D55" s="194"/>
      <c r="E55" s="194"/>
      <c r="F55" s="194"/>
      <c r="G55" s="194"/>
      <c r="H55" s="195"/>
      <c r="I55" s="19">
        <f>+I51+I53</f>
        <v>462083.67999999993</v>
      </c>
      <c r="J55" s="97"/>
    </row>
    <row r="56" spans="3:10" s="6" customFormat="1" ht="15.75" customHeight="1" x14ac:dyDescent="0.25">
      <c r="C56" s="225" t="s">
        <v>201</v>
      </c>
      <c r="D56" s="226"/>
      <c r="E56" s="226"/>
      <c r="F56" s="226"/>
      <c r="G56" s="226"/>
      <c r="H56" s="227"/>
      <c r="I56" s="54">
        <f>ROUND(I55/'Produto 2 - Cálculo Esforço'!F5,2)</f>
        <v>23104.18</v>
      </c>
      <c r="J56" s="97"/>
    </row>
  </sheetData>
  <sheetProtection password="CC51" sheet="1" objects="1" scenarios="1"/>
  <mergeCells count="18">
    <mergeCell ref="C56:H56"/>
    <mergeCell ref="D31:H31"/>
    <mergeCell ref="D32:H32"/>
    <mergeCell ref="C55:H55"/>
    <mergeCell ref="D51:H51"/>
    <mergeCell ref="D53:H53"/>
    <mergeCell ref="C1:I4"/>
    <mergeCell ref="D5:H5"/>
    <mergeCell ref="C7:C8"/>
    <mergeCell ref="D7:D8"/>
    <mergeCell ref="E7:E8"/>
    <mergeCell ref="F7:G7"/>
    <mergeCell ref="H7:I7"/>
    <mergeCell ref="D30:H30"/>
    <mergeCell ref="D44:H44"/>
    <mergeCell ref="D46:H46"/>
    <mergeCell ref="D48:H48"/>
    <mergeCell ref="D49:H49"/>
  </mergeCells>
  <printOptions horizontalCentered="1"/>
  <pageMargins left="0.39370078740157483" right="0.39370078740157483" top="0.39370078740157483" bottom="0.39370078740157483" header="0.51181102362204722" footer="0.51181102362204722"/>
  <pageSetup paperSize="260" scale="70" orientation="portrait" horizontalDpi="4294967295" verticalDpi="300" r:id="rId1"/>
  <headerFooter alignWithMargins="0">
    <oddFooter>&amp;L&amp;8&amp;F/&amp;A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J56"/>
  <sheetViews>
    <sheetView showGridLines="0" topLeftCell="A13" zoomScale="85" zoomScaleNormal="85" workbookViewId="0">
      <selection activeCell="I46" sqref="I46"/>
    </sheetView>
  </sheetViews>
  <sheetFormatPr defaultColWidth="9.140625" defaultRowHeight="12.75" x14ac:dyDescent="0.2"/>
  <cols>
    <col min="1" max="1" width="3.42578125" style="5" customWidth="1"/>
    <col min="2" max="2" width="3.85546875" style="5" customWidth="1"/>
    <col min="3" max="3" width="7" style="5" customWidth="1"/>
    <col min="4" max="4" width="50.140625" style="5" customWidth="1"/>
    <col min="5" max="5" width="9.140625" style="5" bestFit="1" customWidth="1"/>
    <col min="6" max="6" width="8.7109375" style="5" bestFit="1" customWidth="1"/>
    <col min="7" max="7" width="10.42578125" style="5" customWidth="1"/>
    <col min="8" max="9" width="13.5703125" style="5" customWidth="1"/>
    <col min="10" max="10" width="16.28515625" style="5" bestFit="1" customWidth="1"/>
    <col min="11" max="11" width="16.5703125" style="5" customWidth="1"/>
    <col min="12" max="16" width="21.140625" style="5" customWidth="1"/>
    <col min="17" max="17" width="31.42578125" style="5" customWidth="1"/>
    <col min="18" max="19" width="19.85546875" style="5" customWidth="1"/>
    <col min="20" max="21" width="22.28515625" style="5" customWidth="1"/>
    <col min="22" max="22" width="21.5703125" style="5" customWidth="1"/>
    <col min="23" max="24" width="20" style="5" customWidth="1"/>
    <col min="25" max="25" width="21.85546875" style="5" customWidth="1"/>
    <col min="26" max="26" width="18.28515625" style="5" customWidth="1"/>
    <col min="27" max="27" width="16.140625" style="5" customWidth="1"/>
    <col min="28" max="16384" width="9.140625" style="5"/>
  </cols>
  <sheetData>
    <row r="1" spans="2:9" ht="15.75" customHeight="1" x14ac:dyDescent="0.2">
      <c r="C1" s="224" t="s">
        <v>198</v>
      </c>
      <c r="D1" s="224"/>
      <c r="E1" s="224"/>
      <c r="F1" s="224"/>
      <c r="G1" s="224"/>
      <c r="H1" s="224"/>
      <c r="I1" s="224"/>
    </row>
    <row r="2" spans="2:9" ht="15.75" customHeight="1" x14ac:dyDescent="0.2">
      <c r="C2" s="224"/>
      <c r="D2" s="224"/>
      <c r="E2" s="224"/>
      <c r="F2" s="224"/>
      <c r="G2" s="224"/>
      <c r="H2" s="224"/>
      <c r="I2" s="224"/>
    </row>
    <row r="3" spans="2:9" ht="12.75" customHeight="1" x14ac:dyDescent="0.2">
      <c r="C3" s="224"/>
      <c r="D3" s="224"/>
      <c r="E3" s="224"/>
      <c r="F3" s="224"/>
      <c r="G3" s="224"/>
      <c r="H3" s="224"/>
      <c r="I3" s="224"/>
    </row>
    <row r="4" spans="2:9" ht="12.75" customHeight="1" x14ac:dyDescent="0.2">
      <c r="C4" s="224"/>
      <c r="D4" s="224"/>
      <c r="E4" s="224"/>
      <c r="F4" s="224"/>
      <c r="G4" s="224"/>
      <c r="H4" s="224"/>
      <c r="I4" s="224"/>
    </row>
    <row r="5" spans="2:9" ht="18" x14ac:dyDescent="0.25">
      <c r="C5" s="1"/>
      <c r="D5" s="201"/>
      <c r="E5" s="201"/>
      <c r="F5" s="201"/>
      <c r="G5" s="201"/>
      <c r="H5" s="201"/>
      <c r="I5" s="2"/>
    </row>
    <row r="6" spans="2:9" x14ac:dyDescent="0.2">
      <c r="C6" s="6" t="s">
        <v>0</v>
      </c>
      <c r="H6" s="3"/>
      <c r="I6" s="4"/>
    </row>
    <row r="7" spans="2:9" ht="15" customHeight="1" x14ac:dyDescent="0.2">
      <c r="C7" s="202" t="s">
        <v>2</v>
      </c>
      <c r="D7" s="202" t="s">
        <v>3</v>
      </c>
      <c r="E7" s="202" t="s">
        <v>4</v>
      </c>
      <c r="F7" s="204" t="s">
        <v>194</v>
      </c>
      <c r="G7" s="204"/>
      <c r="H7" s="193" t="s">
        <v>5</v>
      </c>
      <c r="I7" s="195"/>
    </row>
    <row r="8" spans="2:9" x14ac:dyDescent="0.2">
      <c r="C8" s="203"/>
      <c r="D8" s="203"/>
      <c r="E8" s="203"/>
      <c r="F8" s="81" t="s">
        <v>195</v>
      </c>
      <c r="G8" s="81" t="s">
        <v>92</v>
      </c>
      <c r="H8" s="11" t="s">
        <v>6</v>
      </c>
      <c r="I8" s="11" t="s">
        <v>7</v>
      </c>
    </row>
    <row r="9" spans="2:9" x14ac:dyDescent="0.2">
      <c r="C9" s="36">
        <v>1</v>
      </c>
      <c r="D9" s="37" t="s">
        <v>8</v>
      </c>
      <c r="E9" s="38"/>
      <c r="F9" s="38"/>
      <c r="G9" s="41"/>
      <c r="H9" s="38"/>
      <c r="I9" s="38"/>
    </row>
    <row r="10" spans="2:9" x14ac:dyDescent="0.2">
      <c r="C10" s="36" t="s">
        <v>9</v>
      </c>
      <c r="D10" s="37" t="s">
        <v>55</v>
      </c>
      <c r="E10" s="38"/>
      <c r="F10" s="38"/>
      <c r="G10" s="41"/>
      <c r="H10" s="38"/>
      <c r="I10" s="38"/>
    </row>
    <row r="11" spans="2:9" x14ac:dyDescent="0.2">
      <c r="B11" s="5" t="s">
        <v>14</v>
      </c>
      <c r="C11" s="7" t="s">
        <v>11</v>
      </c>
      <c r="D11" s="8" t="s">
        <v>12</v>
      </c>
      <c r="E11" s="7" t="s">
        <v>13</v>
      </c>
      <c r="F11" s="162">
        <v>1</v>
      </c>
      <c r="G11" s="70">
        <f>ROUND(SUMIF('Produto 2 - Cálculo Esforço'!C:C,'2.3 Orç Implant e Paviment'!$B11,'Produto 2 - Cálculo Esforço'!N:N)/'Produto 2 - Cálculo Esforço'!$B$11,3)</f>
        <v>0</v>
      </c>
      <c r="H11" s="9">
        <f>SUMIF('Salários e Custos'!$H$8:$H$23,'2.3 Orç Implant e Paviment'!$B11,'Salários e Custos'!$F$8:$F$23)</f>
        <v>21182.87</v>
      </c>
      <c r="I11" s="9">
        <f>ROUND(H11*F11*G11,2)</f>
        <v>0</v>
      </c>
    </row>
    <row r="12" spans="2:9" s="24" customFormat="1" x14ac:dyDescent="0.2">
      <c r="C12" s="36" t="s">
        <v>20</v>
      </c>
      <c r="D12" s="37" t="s">
        <v>10</v>
      </c>
      <c r="E12" s="38"/>
      <c r="F12" s="134"/>
      <c r="G12" s="41"/>
      <c r="H12" s="38"/>
      <c r="I12" s="38"/>
    </row>
    <row r="13" spans="2:9" s="24" customFormat="1" x14ac:dyDescent="0.2">
      <c r="B13" s="24" t="s">
        <v>15</v>
      </c>
      <c r="C13" s="7" t="s">
        <v>22</v>
      </c>
      <c r="D13" s="8" t="s">
        <v>95</v>
      </c>
      <c r="E13" s="7" t="s">
        <v>13</v>
      </c>
      <c r="F13" s="162">
        <v>1</v>
      </c>
      <c r="G13" s="70">
        <f>ROUND(SUMIF('Produto 2 - Cálculo Esforço'!C:C,'2.3 Orç Implant e Paviment'!$B13,'Produto 2 - Cálculo Esforço'!N:N)/'Produto 2 - Cálculo Esforço'!$B$11,3)</f>
        <v>0</v>
      </c>
      <c r="H13" s="9">
        <f>SUMIF('Salários e Custos'!$H$8:$H$23,'2.3 Orç Implant e Paviment'!$B13,'Salários e Custos'!$F$8:$F$23)</f>
        <v>18408.34</v>
      </c>
      <c r="I13" s="9">
        <f t="shared" ref="I13:I17" si="0">ROUND(H13*F13*G13,2)</f>
        <v>0</v>
      </c>
    </row>
    <row r="14" spans="2:9" s="24" customFormat="1" x14ac:dyDescent="0.2">
      <c r="B14" s="24" t="s">
        <v>16</v>
      </c>
      <c r="C14" s="7" t="s">
        <v>24</v>
      </c>
      <c r="D14" s="8" t="s">
        <v>98</v>
      </c>
      <c r="E14" s="7" t="s">
        <v>13</v>
      </c>
      <c r="F14" s="162">
        <v>1</v>
      </c>
      <c r="G14" s="70">
        <f>ROUND(SUMIF('Produto 2 - Cálculo Esforço'!C:C,'2.3 Orç Implant e Paviment'!$B14,'Produto 2 - Cálculo Esforço'!N:N)/'Produto 2 - Cálculo Esforço'!$B$11,3)</f>
        <v>2.2730000000000001</v>
      </c>
      <c r="H14" s="9">
        <f>SUMIF('Salários e Custos'!$H$8:$H$23,'2.3 Orç Implant e Paviment'!$B14,'Salários e Custos'!$F$8:$F$23)</f>
        <v>14505.08</v>
      </c>
      <c r="I14" s="9">
        <f t="shared" si="0"/>
        <v>32970.050000000003</v>
      </c>
    </row>
    <row r="15" spans="2:9" s="24" customFormat="1" x14ac:dyDescent="0.2">
      <c r="B15" s="24" t="s">
        <v>17</v>
      </c>
      <c r="C15" s="7" t="s">
        <v>27</v>
      </c>
      <c r="D15" s="8" t="s">
        <v>96</v>
      </c>
      <c r="E15" s="7" t="s">
        <v>13</v>
      </c>
      <c r="F15" s="162">
        <v>1</v>
      </c>
      <c r="G15" s="70">
        <f>ROUND(SUMIF('Produto 2 - Cálculo Esforço'!C:C,'2.3 Orç Implant e Paviment'!$B15,'Produto 2 - Cálculo Esforço'!N:N)/'Produto 2 - Cálculo Esforço'!$B$11,3)</f>
        <v>2.8180000000000001</v>
      </c>
      <c r="H15" s="9">
        <f>SUMIF('Salários e Custos'!$H$8:$H$23,'2.3 Orç Implant e Paviment'!$B15,'Salários e Custos'!$F$8:$F$23)</f>
        <v>11347.68</v>
      </c>
      <c r="I15" s="9">
        <f t="shared" si="0"/>
        <v>31977.759999999998</v>
      </c>
    </row>
    <row r="16" spans="2:9" s="24" customFormat="1" x14ac:dyDescent="0.2">
      <c r="B16" s="24" t="s">
        <v>18</v>
      </c>
      <c r="C16" s="7" t="s">
        <v>24</v>
      </c>
      <c r="D16" s="8" t="s">
        <v>97</v>
      </c>
      <c r="E16" s="7" t="s">
        <v>13</v>
      </c>
      <c r="F16" s="162">
        <v>1</v>
      </c>
      <c r="G16" s="70">
        <f>ROUND(SUMIF('Produto 2 - Cálculo Esforço'!C:C,'2.3 Orç Implant e Paviment'!$B16,'Produto 2 - Cálculo Esforço'!N:N)/'Produto 2 - Cálculo Esforço'!$B$11,3)</f>
        <v>3</v>
      </c>
      <c r="H16" s="9">
        <f>SUMIF('Salários e Custos'!$H$8:$H$23,'2.3 Orç Implant e Paviment'!$B16,'Salários e Custos'!$F$8:$F$23)</f>
        <v>9335.82</v>
      </c>
      <c r="I16" s="9">
        <f t="shared" si="0"/>
        <v>28007.46</v>
      </c>
    </row>
    <row r="17" spans="2:9" s="24" customFormat="1" x14ac:dyDescent="0.2">
      <c r="B17" s="24" t="s">
        <v>19</v>
      </c>
      <c r="C17" s="7" t="s">
        <v>30</v>
      </c>
      <c r="D17" s="8" t="s">
        <v>99</v>
      </c>
      <c r="E17" s="7" t="s">
        <v>13</v>
      </c>
      <c r="F17" s="162">
        <v>1</v>
      </c>
      <c r="G17" s="70">
        <f>ROUND(SUMIF('Produto 2 - Cálculo Esforço'!C:C,'2.3 Orç Implant e Paviment'!$B17,'Produto 2 - Cálculo Esforço'!N:N)/'Produto 2 - Cálculo Esforço'!$B$11,3)</f>
        <v>2.1360000000000001</v>
      </c>
      <c r="H17" s="9">
        <f>SUMIF('Salários e Custos'!$H$8:$H$23,'2.3 Orç Implant e Paviment'!$B17,'Salários e Custos'!$F$8:$F$23)</f>
        <v>8882.5</v>
      </c>
      <c r="I17" s="9">
        <f t="shared" si="0"/>
        <v>18973.02</v>
      </c>
    </row>
    <row r="18" spans="2:9" s="24" customFormat="1" x14ac:dyDescent="0.2">
      <c r="C18" s="36" t="s">
        <v>32</v>
      </c>
      <c r="D18" s="37" t="s">
        <v>21</v>
      </c>
      <c r="E18" s="39"/>
      <c r="F18" s="135"/>
      <c r="G18" s="42"/>
      <c r="H18" s="40"/>
      <c r="I18" s="40"/>
    </row>
    <row r="19" spans="2:9" s="24" customFormat="1" x14ac:dyDescent="0.2">
      <c r="B19" s="24" t="s">
        <v>23</v>
      </c>
      <c r="C19" s="7" t="s">
        <v>33</v>
      </c>
      <c r="D19" s="8" t="s">
        <v>100</v>
      </c>
      <c r="E19" s="7" t="s">
        <v>13</v>
      </c>
      <c r="F19" s="162">
        <v>1</v>
      </c>
      <c r="G19" s="70">
        <f>ROUND(SUMIF('Produto 2 - Cálculo Esforço'!C:C,'2.3 Orç Implant e Paviment'!$B19,'Produto 2 - Cálculo Esforço'!N:N)/'Produto 2 - Cálculo Esforço'!$B$11,3)</f>
        <v>0</v>
      </c>
      <c r="H19" s="9">
        <f>SUMIF('Salários e Custos'!$H$8:$H$23,'2.3 Orç Implant e Paviment'!$B19,'Salários e Custos'!$F$8:$F$23)</f>
        <v>6576.05</v>
      </c>
      <c r="I19" s="9">
        <f t="shared" ref="I19:I23" si="1">ROUND(H19*F19*G19,2)</f>
        <v>0</v>
      </c>
    </row>
    <row r="20" spans="2:9" ht="12.75" customHeight="1" x14ac:dyDescent="0.2">
      <c r="B20" s="5" t="s">
        <v>26</v>
      </c>
      <c r="C20" s="7" t="s">
        <v>36</v>
      </c>
      <c r="D20" s="8" t="s">
        <v>25</v>
      </c>
      <c r="E20" s="7" t="s">
        <v>13</v>
      </c>
      <c r="F20" s="162">
        <v>1</v>
      </c>
      <c r="G20" s="70">
        <f>ROUND(SUMIF('Produto 2 - Cálculo Esforço'!C:C,'2.3 Orç Implant e Paviment'!$B20,'Produto 2 - Cálculo Esforço'!N:N)/'Produto 2 - Cálculo Esforço'!$B$11,3)</f>
        <v>3.6819999999999999</v>
      </c>
      <c r="H20" s="9">
        <f>SUMIF('Salários e Custos'!$H$8:$H$23,'2.3 Orç Implant e Paviment'!$B20,'Salários e Custos'!$F$8:$F$23)</f>
        <v>5015.7</v>
      </c>
      <c r="I20" s="9">
        <f t="shared" si="1"/>
        <v>18467.810000000001</v>
      </c>
    </row>
    <row r="21" spans="2:9" ht="12.75" customHeight="1" x14ac:dyDescent="0.2">
      <c r="B21" s="5" t="s">
        <v>28</v>
      </c>
      <c r="C21" s="7" t="s">
        <v>38</v>
      </c>
      <c r="D21" s="8" t="s">
        <v>89</v>
      </c>
      <c r="E21" s="7" t="s">
        <v>13</v>
      </c>
      <c r="F21" s="162">
        <v>1</v>
      </c>
      <c r="G21" s="70">
        <f>ROUND(SUMIF('Produto 2 - Cálculo Esforço'!C:C,'2.3 Orç Implant e Paviment'!$B21,'Produto 2 - Cálculo Esforço'!N:N)/'Produto 2 - Cálculo Esforço'!$B$11,3)</f>
        <v>9.0999999999999998E-2</v>
      </c>
      <c r="H21" s="9">
        <f>SUMIF('Salários e Custos'!$H$8:$H$23,'2.3 Orç Implant e Paviment'!$B21,'Salários e Custos'!$F$8:$F$23)</f>
        <v>3793.13</v>
      </c>
      <c r="I21" s="9">
        <f t="shared" si="1"/>
        <v>345.17</v>
      </c>
    </row>
    <row r="22" spans="2:9" ht="12.75" customHeight="1" x14ac:dyDescent="0.2">
      <c r="B22" s="5" t="s">
        <v>29</v>
      </c>
      <c r="C22" s="7" t="s">
        <v>50</v>
      </c>
      <c r="D22" s="8" t="s">
        <v>90</v>
      </c>
      <c r="E22" s="7" t="s">
        <v>13</v>
      </c>
      <c r="F22" s="162">
        <v>1</v>
      </c>
      <c r="G22" s="70">
        <f>ROUND(SUMIF('Produto 2 - Cálculo Esforço'!C:C,'2.3 Orç Implant e Paviment'!$B22,'Produto 2 - Cálculo Esforço'!N:N)/'Produto 2 - Cálculo Esforço'!$B$11,3)</f>
        <v>0.72699999999999998</v>
      </c>
      <c r="H22" s="9">
        <f>SUMIF('Salários e Custos'!$H$8:$H$23,'2.3 Orç Implant e Paviment'!$B22,'Salários e Custos'!$F$8:$F$23)</f>
        <v>3044.5</v>
      </c>
      <c r="I22" s="9">
        <f t="shared" si="1"/>
        <v>2213.35</v>
      </c>
    </row>
    <row r="23" spans="2:9" ht="12.75" customHeight="1" x14ac:dyDescent="0.2">
      <c r="B23" s="5" t="s">
        <v>31</v>
      </c>
      <c r="C23" s="7" t="s">
        <v>51</v>
      </c>
      <c r="D23" s="8" t="s">
        <v>91</v>
      </c>
      <c r="E23" s="7" t="s">
        <v>13</v>
      </c>
      <c r="F23" s="162">
        <v>1</v>
      </c>
      <c r="G23" s="70">
        <f>ROUND(SUMIF('Produto 2 - Cálculo Esforço'!C:C,'2.3 Orç Implant e Paviment'!$B23,'Produto 2 - Cálculo Esforço'!N:N)/'Produto 2 - Cálculo Esforço'!$B$11,3)</f>
        <v>1</v>
      </c>
      <c r="H23" s="9">
        <f>SUMIF('Salários e Custos'!$H$8:$H$23,'2.3 Orç Implant e Paviment'!$B23,'Salários e Custos'!$F$8:$F$23)</f>
        <v>2274.4299999999998</v>
      </c>
      <c r="I23" s="9">
        <f t="shared" si="1"/>
        <v>2274.4299999999998</v>
      </c>
    </row>
    <row r="24" spans="2:9" ht="12.75" customHeight="1" x14ac:dyDescent="0.2">
      <c r="C24" s="36" t="s">
        <v>52</v>
      </c>
      <c r="D24" s="37" t="s">
        <v>81</v>
      </c>
      <c r="E24" s="39"/>
      <c r="F24" s="135"/>
      <c r="G24" s="42"/>
      <c r="H24" s="40"/>
      <c r="I24" s="40"/>
    </row>
    <row r="25" spans="2:9" ht="12.75" customHeight="1" x14ac:dyDescent="0.2">
      <c r="B25" s="5" t="s">
        <v>35</v>
      </c>
      <c r="C25" s="7" t="s">
        <v>53</v>
      </c>
      <c r="D25" s="8" t="s">
        <v>34</v>
      </c>
      <c r="E25" s="7" t="s">
        <v>13</v>
      </c>
      <c r="F25" s="162">
        <v>1</v>
      </c>
      <c r="G25" s="70">
        <f>ROUND(SUMIF('Produto 2 - Cálculo Esforço'!C:C,'2.3 Orç Implant e Paviment'!$B25,'Produto 2 - Cálculo Esforço'!N:N)/'Produto 2 - Cálculo Esforço'!$B$11,3)</f>
        <v>0</v>
      </c>
      <c r="H25" s="9">
        <f>SUMIF('Salários e Custos'!$H$8:$H$23,'2.3 Orç Implant e Paviment'!$B25,'Salários e Custos'!$F$8:$F$23)</f>
        <v>5268.86</v>
      </c>
      <c r="I25" s="9">
        <f t="shared" ref="I25:I28" si="2">ROUND(H25*F25*G25,2)</f>
        <v>0</v>
      </c>
    </row>
    <row r="26" spans="2:9" ht="12.75" customHeight="1" x14ac:dyDescent="0.2">
      <c r="B26" s="5" t="s">
        <v>37</v>
      </c>
      <c r="C26" s="7" t="s">
        <v>53</v>
      </c>
      <c r="D26" s="44" t="s">
        <v>83</v>
      </c>
      <c r="E26" s="7" t="s">
        <v>13</v>
      </c>
      <c r="F26" s="162">
        <v>1</v>
      </c>
      <c r="G26" s="70">
        <f>ROUND(SUMIF('Produto 2 - Cálculo Esforço'!C:C,'2.3 Orç Implant e Paviment'!$B26,'Produto 2 - Cálculo Esforço'!N:N)/'Produto 2 - Cálculo Esforço'!$B$11,3)</f>
        <v>0</v>
      </c>
      <c r="H26" s="9">
        <f>SUMIF('Salários e Custos'!$H$8:$H$23,'2.3 Orç Implant e Paviment'!$B26,'Salários e Custos'!$F$8:$F$23)</f>
        <v>3164.02</v>
      </c>
      <c r="I26" s="9">
        <f t="shared" si="2"/>
        <v>0</v>
      </c>
    </row>
    <row r="27" spans="2:9" x14ac:dyDescent="0.2">
      <c r="B27" s="5" t="s">
        <v>39</v>
      </c>
      <c r="C27" s="7" t="s">
        <v>54</v>
      </c>
      <c r="D27" s="44" t="s">
        <v>85</v>
      </c>
      <c r="E27" s="7" t="s">
        <v>13</v>
      </c>
      <c r="F27" s="162">
        <v>1</v>
      </c>
      <c r="G27" s="70">
        <f>ROUND(SUMIF('Produto 2 - Cálculo Esforço'!C:C,'2.3 Orç Implant e Paviment'!$B27,'Produto 2 - Cálculo Esforço'!N:N)/'Produto 2 - Cálculo Esforço'!$B$11,3)</f>
        <v>9.0999999999999998E-2</v>
      </c>
      <c r="H27" s="9">
        <f>SUMIF('Salários e Custos'!$H$8:$H$23,'2.3 Orç Implant e Paviment'!$B27,'Salários e Custos'!$F$8:$F$23)</f>
        <v>2044.22</v>
      </c>
      <c r="I27" s="9">
        <f t="shared" si="2"/>
        <v>186.02</v>
      </c>
    </row>
    <row r="28" spans="2:9" x14ac:dyDescent="0.2">
      <c r="B28" s="5" t="s">
        <v>56</v>
      </c>
      <c r="C28" s="7" t="s">
        <v>54</v>
      </c>
      <c r="D28" s="44" t="s">
        <v>86</v>
      </c>
      <c r="E28" s="7" t="s">
        <v>13</v>
      </c>
      <c r="F28" s="162">
        <v>1</v>
      </c>
      <c r="G28" s="70">
        <f>ROUND(SUMIF('Produto 2 - Cálculo Esforço'!C:C,'2.3 Orç Implant e Paviment'!$B28,'Produto 2 - Cálculo Esforço'!N:N)/'Produto 2 - Cálculo Esforço'!$B$11,3)</f>
        <v>0.27300000000000002</v>
      </c>
      <c r="H28" s="9">
        <f>SUMIF('Salários e Custos'!$H$8:$H$32,'2.3 Orç Implant e Paviment'!$B28,'Salários e Custos'!$F$8:$F$32)</f>
        <v>1782.1</v>
      </c>
      <c r="I28" s="9">
        <f t="shared" si="2"/>
        <v>486.51</v>
      </c>
    </row>
    <row r="29" spans="2:9" x14ac:dyDescent="0.2">
      <c r="C29" s="26"/>
      <c r="D29" s="27"/>
      <c r="E29" s="27"/>
      <c r="F29" s="27"/>
      <c r="G29" s="27"/>
      <c r="H29" s="27"/>
      <c r="I29" s="28"/>
    </row>
    <row r="30" spans="2:9" ht="15" customHeight="1" x14ac:dyDescent="0.2">
      <c r="C30" s="11" t="s">
        <v>40</v>
      </c>
      <c r="D30" s="196" t="s">
        <v>41</v>
      </c>
      <c r="E30" s="197"/>
      <c r="F30" s="197"/>
      <c r="G30" s="197"/>
      <c r="H30" s="198"/>
      <c r="I30" s="12">
        <f>SUM(I11:I29)</f>
        <v>135901.57999999999</v>
      </c>
    </row>
    <row r="31" spans="2:9" ht="15.75" customHeight="1" x14ac:dyDescent="0.2">
      <c r="C31" s="11" t="s">
        <v>42</v>
      </c>
      <c r="D31" s="196" t="s">
        <v>213</v>
      </c>
      <c r="E31" s="197"/>
      <c r="F31" s="197"/>
      <c r="G31" s="197"/>
      <c r="H31" s="198"/>
      <c r="I31" s="12">
        <f>ROUND(+SUM(I13:I28)*'Salários e Custos'!F38+I11*'Salários e Custos'!F37,2)</f>
        <v>114211.69</v>
      </c>
    </row>
    <row r="32" spans="2:9" ht="15.75" customHeight="1" x14ac:dyDescent="0.2">
      <c r="C32" s="11" t="s">
        <v>43</v>
      </c>
      <c r="D32" s="196" t="s">
        <v>214</v>
      </c>
      <c r="E32" s="197"/>
      <c r="F32" s="197"/>
      <c r="G32" s="197"/>
      <c r="H32" s="198"/>
      <c r="I32" s="14">
        <f>ROUND((+I30-I11)*'Salários e Custos'!F39,2)</f>
        <v>27180.32</v>
      </c>
    </row>
    <row r="33" spans="2:10" ht="15.75" customHeight="1" x14ac:dyDescent="0.2">
      <c r="C33" s="45"/>
      <c r="D33" s="15"/>
      <c r="E33" s="15"/>
      <c r="F33" s="15"/>
      <c r="G33" s="15"/>
      <c r="H33" s="15"/>
      <c r="I33" s="16"/>
    </row>
    <row r="34" spans="2:10" s="6" customFormat="1" ht="15.75" customHeight="1" x14ac:dyDescent="0.2">
      <c r="C34" s="11">
        <v>2</v>
      </c>
      <c r="D34" s="13" t="s">
        <v>44</v>
      </c>
      <c r="E34" s="13"/>
      <c r="F34" s="13"/>
      <c r="G34" s="13"/>
      <c r="H34" s="13"/>
      <c r="I34" s="12"/>
    </row>
    <row r="35" spans="2:10" ht="15.75" customHeight="1" x14ac:dyDescent="0.2">
      <c r="B35" s="5" t="s">
        <v>170</v>
      </c>
      <c r="C35" s="7" t="s">
        <v>45</v>
      </c>
      <c r="D35" s="65" t="s">
        <v>132</v>
      </c>
      <c r="E35" s="7" t="s">
        <v>13</v>
      </c>
      <c r="F35" s="162">
        <v>1</v>
      </c>
      <c r="G35" s="142">
        <f>ROUND('Produto 2 - Cálculo Esforço'!N19/'Produto 2 - Cálculo Esforço'!B11,3)</f>
        <v>9.0999999999999998E-2</v>
      </c>
      <c r="H35" s="9">
        <f>SUMIF('Salários e Custos'!$H$8:$H$32,'2.1 Orç Reab e Rest'!$B35,'Salários e Custos'!$F$8:$F$32)</f>
        <v>1860.06</v>
      </c>
      <c r="I35" s="9">
        <f t="shared" ref="I35:I43" si="3">ROUND(H35*F35*G35,2)</f>
        <v>169.27</v>
      </c>
    </row>
    <row r="36" spans="2:10" ht="15.75" customHeight="1" x14ac:dyDescent="0.2">
      <c r="B36" s="5" t="s">
        <v>171</v>
      </c>
      <c r="C36" s="7" t="s">
        <v>162</v>
      </c>
      <c r="D36" s="65" t="s">
        <v>133</v>
      </c>
      <c r="E36" s="7" t="s">
        <v>13</v>
      </c>
      <c r="F36" s="162">
        <v>1</v>
      </c>
      <c r="G36" s="143">
        <f>ROUND(('Produto 2 - Cálculo Esforço'!N19+'Produto 2 - Cálculo Esforço'!N104)/'Produto 2 - Cálculo Esforço'!B11,3)</f>
        <v>0.77300000000000002</v>
      </c>
      <c r="H36" s="9">
        <f>SUMIF('Salários e Custos'!$H$8:$H$32,'2.1 Orç Reab e Rest'!$B36,'Salários e Custos'!$F$8:$F$32)</f>
        <v>326.83999999999997</v>
      </c>
      <c r="I36" s="9">
        <f t="shared" si="3"/>
        <v>252.65</v>
      </c>
    </row>
    <row r="37" spans="2:10" ht="15.75" customHeight="1" x14ac:dyDescent="0.2">
      <c r="B37" s="5" t="s">
        <v>172</v>
      </c>
      <c r="C37" s="7" t="s">
        <v>121</v>
      </c>
      <c r="D37" s="65" t="s">
        <v>134</v>
      </c>
      <c r="E37" s="7" t="s">
        <v>13</v>
      </c>
      <c r="F37" s="162">
        <v>1</v>
      </c>
      <c r="G37" s="143">
        <f>ROUND('Produto 2 - Cálculo Esforço'!N27/'Produto 2 - Cálculo Esforço'!B11,3)</f>
        <v>0</v>
      </c>
      <c r="H37" s="9">
        <f>SUMIF('Salários e Custos'!$H$8:$H$32,'2.1 Orç Reab e Rest'!$B37,'Salários e Custos'!$F$8:$F$32)</f>
        <v>1705.77</v>
      </c>
      <c r="I37" s="9">
        <f t="shared" si="3"/>
        <v>0</v>
      </c>
    </row>
    <row r="38" spans="2:10" ht="15.75" customHeight="1" x14ac:dyDescent="0.2">
      <c r="B38" s="5" t="s">
        <v>173</v>
      </c>
      <c r="C38" s="7" t="s">
        <v>163</v>
      </c>
      <c r="D38" s="65" t="s">
        <v>135</v>
      </c>
      <c r="E38" s="7" t="s">
        <v>13</v>
      </c>
      <c r="F38" s="162">
        <v>1</v>
      </c>
      <c r="G38" s="143">
        <f>ROUND('Produto 2 - Cálculo Esforço'!N24/'Produto 2 - Cálculo Esforço'!B11,3)</f>
        <v>9.0999999999999998E-2</v>
      </c>
      <c r="H38" s="9">
        <f>SUMIF('Salários e Custos'!$H$8:$H$32,'2.1 Orç Reab e Rest'!$B38,'Salários e Custos'!$F$8:$F$32)</f>
        <v>2638.67</v>
      </c>
      <c r="I38" s="9">
        <f t="shared" si="3"/>
        <v>240.12</v>
      </c>
    </row>
    <row r="39" spans="2:10" ht="15.75" customHeight="1" x14ac:dyDescent="0.2">
      <c r="B39" s="5" t="s">
        <v>174</v>
      </c>
      <c r="C39" s="7" t="s">
        <v>164</v>
      </c>
      <c r="D39" s="65" t="s">
        <v>136</v>
      </c>
      <c r="E39" s="7" t="s">
        <v>13</v>
      </c>
      <c r="F39" s="162">
        <v>1</v>
      </c>
      <c r="G39" s="143">
        <f>ROUND('Produto 2 - Cálculo Esforço'!N24/'Produto 2 - Cálculo Esforço'!B11,3)</f>
        <v>9.0999999999999998E-2</v>
      </c>
      <c r="H39" s="9">
        <f>SUMIF('Salários e Custos'!$H$8:$H$32,'2.1 Orç Reab e Rest'!$B39,'Salários e Custos'!$F$8:$F$32)</f>
        <v>4077.93</v>
      </c>
      <c r="I39" s="9">
        <f t="shared" si="3"/>
        <v>371.09</v>
      </c>
    </row>
    <row r="40" spans="2:10" ht="15.75" customHeight="1" x14ac:dyDescent="0.2">
      <c r="B40" s="5" t="s">
        <v>120</v>
      </c>
      <c r="C40" s="7" t="s">
        <v>165</v>
      </c>
      <c r="D40" s="65" t="s">
        <v>144</v>
      </c>
      <c r="E40" s="7" t="s">
        <v>13</v>
      </c>
      <c r="F40" s="162">
        <v>1</v>
      </c>
      <c r="G40" s="143">
        <f>ROUND(SUM(G11:G23),3)</f>
        <v>15.727</v>
      </c>
      <c r="H40" s="9">
        <f>SUMIF('Salários e Custos'!$H$8:$H$32,'2.1 Orç Reab e Rest'!$B40,'Salários e Custos'!$F$8:$F$32)</f>
        <v>171.37</v>
      </c>
      <c r="I40" s="9">
        <f t="shared" si="3"/>
        <v>2695.14</v>
      </c>
    </row>
    <row r="41" spans="2:10" ht="15.75" customHeight="1" x14ac:dyDescent="0.2">
      <c r="B41" s="5" t="s">
        <v>175</v>
      </c>
      <c r="C41" s="7" t="s">
        <v>166</v>
      </c>
      <c r="D41" s="65" t="s">
        <v>129</v>
      </c>
      <c r="E41" s="7" t="s">
        <v>13</v>
      </c>
      <c r="F41" s="162">
        <v>1</v>
      </c>
      <c r="G41" s="143">
        <f>ROUND(('Produto 2 - Cálculo Esforço'!N15+'Produto 2 - Cálculo Esforço'!N30/2+'Produto 2 - Cálculo Esforço'!N34/3+'Produto 2 - Cálculo Esforço'!N38/3+'Produto 2 - Cálculo Esforço'!N42/3+'Produto 2 - Cálculo Esforço'!N46/2+'Produto 2 - Cálculo Esforço'!N56/5+'Produto 2 - Cálculo Esforço'!N60/5+'Produto 2 - Cálculo Esforço'!N64/5+'Produto 2 - Cálculo Esforço'!N67/5+'Produto 2 - Cálculo Esforço'!N71/5+'Produto 2 - Cálculo Esforço'!N75/5+'Produto 2 - Cálculo Esforço'!N79/4+'Produto 2 - Cálculo Esforço'!N84/5+'Produto 2 - Cálculo Esforço'!N87/5+'Produto 2 - Cálculo Esforço'!N91/4+'Produto 2 - Cálculo Esforço'!N95/2+'Produto 2 - Cálculo Esforço'!N105/5+'Produto 2 - Cálculo Esforço'!N107/2+'Produto 2 - Cálculo Esforço'!N112/3+'Produto 2 - Cálculo Esforço'!N117/2+'Produto 2 - Cálculo Esforço'!N121/4+'Produto 2 - Cálculo Esforço'!N123/3+'Produto 2 - Cálculo Esforço'!N129/5)/'Produto 2 - Cálculo Esforço'!B11,3)</f>
        <v>1.7230000000000001</v>
      </c>
      <c r="H41" s="9">
        <f>SUMIF('Salários e Custos'!$H$8:$H$32,'2.1 Orç Reab e Rest'!$B41,'Salários e Custos'!$F$8:$F$32)</f>
        <v>3366.25</v>
      </c>
      <c r="I41" s="9">
        <f t="shared" si="3"/>
        <v>5800.05</v>
      </c>
    </row>
    <row r="42" spans="2:10" ht="15.75" customHeight="1" x14ac:dyDescent="0.2">
      <c r="B42" s="5" t="s">
        <v>176</v>
      </c>
      <c r="C42" s="7" t="s">
        <v>167</v>
      </c>
      <c r="D42" s="65" t="s">
        <v>130</v>
      </c>
      <c r="E42" s="7" t="s">
        <v>13</v>
      </c>
      <c r="F42" s="162">
        <v>1</v>
      </c>
      <c r="G42" s="143">
        <f>ROUND(('Produto 2 - Cálculo Esforço'!N19+'Produto 2 - Cálculo Esforço'!N23+'Produto 2 - Cálculo Esforço'!N27)/'Produto 2 - Cálculo Esforço'!B11,3)</f>
        <v>0.182</v>
      </c>
      <c r="H42" s="9">
        <f>SUMIF('Salários e Custos'!$H$8:$H$32,'2.1 Orç Reab e Rest'!$B42,'Salários e Custos'!$F$8:$F$32)</f>
        <v>3561.89</v>
      </c>
      <c r="I42" s="9">
        <f t="shared" si="3"/>
        <v>648.26</v>
      </c>
    </row>
    <row r="43" spans="2:10" ht="15.75" customHeight="1" x14ac:dyDescent="0.2">
      <c r="B43" s="5" t="s">
        <v>177</v>
      </c>
      <c r="C43" s="7" t="s">
        <v>168</v>
      </c>
      <c r="D43" s="29" t="s">
        <v>131</v>
      </c>
      <c r="E43" s="7" t="s">
        <v>13</v>
      </c>
      <c r="F43" s="162">
        <v>1</v>
      </c>
      <c r="G43" s="142">
        <f>ROUND('Produto 2 - Cálculo Esforço'!N27/'Produto 2 - Cálculo Esforço'!B11,3)</f>
        <v>0</v>
      </c>
      <c r="H43" s="9">
        <f>SUMIF('Salários e Custos'!$H$8:$H$32,'2.1 Orç Reab e Rest'!$B43,'Salários e Custos'!$F$8:$F$32)</f>
        <v>11311.06</v>
      </c>
      <c r="I43" s="9">
        <f t="shared" si="3"/>
        <v>0</v>
      </c>
      <c r="J43" s="67"/>
    </row>
    <row r="44" spans="2:10" ht="15.75" customHeight="1" x14ac:dyDescent="0.2">
      <c r="C44" s="11" t="s">
        <v>46</v>
      </c>
      <c r="D44" s="193" t="s">
        <v>47</v>
      </c>
      <c r="E44" s="194"/>
      <c r="F44" s="194"/>
      <c r="G44" s="194"/>
      <c r="H44" s="195"/>
      <c r="I44" s="17">
        <f>SUM(I35:I43)</f>
        <v>10176.58</v>
      </c>
    </row>
    <row r="45" spans="2:10" ht="15.75" customHeight="1" x14ac:dyDescent="0.2">
      <c r="C45" s="18"/>
      <c r="D45" s="15"/>
      <c r="E45" s="15"/>
      <c r="F45" s="15"/>
      <c r="G45" s="15"/>
      <c r="H45" s="15"/>
      <c r="I45" s="16"/>
    </row>
    <row r="46" spans="2:10" ht="15.75" customHeight="1" x14ac:dyDescent="0.2">
      <c r="C46" s="7" t="s">
        <v>204</v>
      </c>
      <c r="D46" s="190" t="s">
        <v>187</v>
      </c>
      <c r="E46" s="191"/>
      <c r="F46" s="191"/>
      <c r="G46" s="191"/>
      <c r="H46" s="192"/>
      <c r="I46" s="19">
        <f>I30+I31+I32+I44</f>
        <v>287470.17</v>
      </c>
    </row>
    <row r="47" spans="2:10" ht="15.75" customHeight="1" x14ac:dyDescent="0.2">
      <c r="C47" s="18"/>
      <c r="D47" s="15"/>
      <c r="E47" s="15"/>
      <c r="F47" s="15"/>
      <c r="G47" s="15"/>
      <c r="H47" s="15"/>
      <c r="I47" s="21"/>
    </row>
    <row r="48" spans="2:10" ht="15.75" customHeight="1" x14ac:dyDescent="0.2">
      <c r="C48" s="7" t="s">
        <v>48</v>
      </c>
      <c r="D48" s="193" t="s">
        <v>49</v>
      </c>
      <c r="E48" s="194"/>
      <c r="F48" s="194"/>
      <c r="G48" s="194"/>
      <c r="H48" s="195"/>
      <c r="I48" s="23"/>
    </row>
    <row r="49" spans="3:9" ht="15.75" customHeight="1" x14ac:dyDescent="0.2">
      <c r="C49" s="7" t="s">
        <v>185</v>
      </c>
      <c r="D49" s="190" t="s">
        <v>219</v>
      </c>
      <c r="E49" s="191"/>
      <c r="F49" s="191"/>
      <c r="G49" s="191"/>
      <c r="H49" s="192"/>
      <c r="I49" s="19">
        <f>ROUND(+I46*'Salários e Custos'!F40,2)</f>
        <v>34496.42</v>
      </c>
    </row>
    <row r="50" spans="3:9" ht="15.75" customHeight="1" x14ac:dyDescent="0.2">
      <c r="C50" s="121"/>
      <c r="D50" s="15"/>
      <c r="E50" s="15"/>
      <c r="F50" s="15"/>
      <c r="G50" s="15"/>
      <c r="H50" s="15"/>
      <c r="I50" s="21"/>
    </row>
    <row r="51" spans="3:9" ht="15.75" customHeight="1" x14ac:dyDescent="0.2">
      <c r="C51" s="7" t="s">
        <v>205</v>
      </c>
      <c r="D51" s="190" t="s">
        <v>188</v>
      </c>
      <c r="E51" s="191"/>
      <c r="F51" s="191"/>
      <c r="G51" s="191"/>
      <c r="H51" s="192"/>
      <c r="I51" s="19">
        <f>+I46+I49</f>
        <v>321966.58999999997</v>
      </c>
    </row>
    <row r="52" spans="3:9" ht="15.75" customHeight="1" x14ac:dyDescent="0.2">
      <c r="C52" s="7"/>
      <c r="D52" s="121"/>
      <c r="E52" s="122"/>
      <c r="F52" s="122"/>
      <c r="G52" s="122"/>
      <c r="H52" s="123"/>
      <c r="I52" s="21"/>
    </row>
    <row r="53" spans="3:9" ht="15.75" customHeight="1" x14ac:dyDescent="0.2">
      <c r="C53" s="7" t="s">
        <v>186</v>
      </c>
      <c r="D53" s="190" t="s">
        <v>218</v>
      </c>
      <c r="E53" s="191"/>
      <c r="F53" s="191"/>
      <c r="G53" s="191"/>
      <c r="H53" s="192"/>
      <c r="I53" s="19">
        <f>ROUND(+I51*'Salários e Custos'!F41,2)</f>
        <v>53510.85</v>
      </c>
    </row>
    <row r="54" spans="3:9" ht="15.75" customHeight="1" x14ac:dyDescent="0.2">
      <c r="C54" s="18"/>
      <c r="D54" s="15"/>
      <c r="E54" s="15"/>
      <c r="F54" s="15"/>
      <c r="G54" s="15"/>
      <c r="H54" s="15"/>
      <c r="I54" s="21"/>
    </row>
    <row r="55" spans="3:9" s="6" customFormat="1" ht="15.75" customHeight="1" x14ac:dyDescent="0.2">
      <c r="C55" s="193" t="s">
        <v>196</v>
      </c>
      <c r="D55" s="194"/>
      <c r="E55" s="194"/>
      <c r="F55" s="194"/>
      <c r="G55" s="194"/>
      <c r="H55" s="195"/>
      <c r="I55" s="19">
        <f>+I51+I53</f>
        <v>375477.43999999994</v>
      </c>
    </row>
    <row r="56" spans="3:9" s="6" customFormat="1" ht="15.75" customHeight="1" x14ac:dyDescent="0.25">
      <c r="C56" s="225" t="s">
        <v>201</v>
      </c>
      <c r="D56" s="226"/>
      <c r="E56" s="226"/>
      <c r="F56" s="226"/>
      <c r="G56" s="226"/>
      <c r="H56" s="227"/>
      <c r="I56" s="54">
        <f>ROUND(I55/'Produto 2 - Cálculo Esforço'!F5,2)</f>
        <v>18773.87</v>
      </c>
    </row>
  </sheetData>
  <sheetProtection password="CC51" sheet="1" objects="1" scenarios="1"/>
  <mergeCells count="18">
    <mergeCell ref="C56:H56"/>
    <mergeCell ref="D31:H31"/>
    <mergeCell ref="D32:H32"/>
    <mergeCell ref="C55:H55"/>
    <mergeCell ref="D51:H51"/>
    <mergeCell ref="D53:H53"/>
    <mergeCell ref="C1:I4"/>
    <mergeCell ref="D5:H5"/>
    <mergeCell ref="C7:C8"/>
    <mergeCell ref="D7:D8"/>
    <mergeCell ref="E7:E8"/>
    <mergeCell ref="F7:G7"/>
    <mergeCell ref="H7:I7"/>
    <mergeCell ref="D30:H30"/>
    <mergeCell ref="D44:H44"/>
    <mergeCell ref="D46:H46"/>
    <mergeCell ref="D48:H48"/>
    <mergeCell ref="D49:H49"/>
  </mergeCells>
  <printOptions horizontalCentered="1"/>
  <pageMargins left="0.39370078740157483" right="0.39370078740157483" top="0.39370078740157483" bottom="0.39370078740157483" header="0.51181102362204722" footer="0.51181102362204722"/>
  <pageSetup paperSize="260" scale="70" orientation="portrait" horizontalDpi="4294967295" verticalDpi="300" r:id="rId1"/>
  <headerFooter alignWithMargins="0">
    <oddFooter>&amp;L&amp;8&amp;F/&amp;A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16"/>
  <sheetViews>
    <sheetView topLeftCell="B1" zoomScale="85" zoomScaleNormal="85" workbookViewId="0">
      <selection activeCell="H15" sqref="H15"/>
    </sheetView>
  </sheetViews>
  <sheetFormatPr defaultRowHeight="15" x14ac:dyDescent="0.25"/>
  <cols>
    <col min="2" max="2" width="67.42578125" customWidth="1"/>
    <col min="3" max="7" width="14" customWidth="1"/>
    <col min="8" max="8" width="15.28515625" bestFit="1" customWidth="1"/>
    <col min="10" max="10" width="10.5703125" bestFit="1" customWidth="1"/>
    <col min="11" max="11" width="11.5703125" bestFit="1" customWidth="1"/>
  </cols>
  <sheetData>
    <row r="1" spans="2:11" ht="36.75" customHeight="1" x14ac:dyDescent="0.25">
      <c r="B1" s="234" t="s">
        <v>234</v>
      </c>
      <c r="C1" s="234"/>
      <c r="D1" s="234"/>
      <c r="E1" s="235"/>
      <c r="F1" s="153"/>
      <c r="G1" s="103"/>
      <c r="H1" s="98"/>
      <c r="I1" s="98"/>
    </row>
    <row r="2" spans="2:11" ht="54.75" customHeight="1" x14ac:dyDescent="0.25">
      <c r="B2" s="107" t="s">
        <v>199</v>
      </c>
      <c r="C2" s="107" t="s">
        <v>200</v>
      </c>
      <c r="D2" s="107" t="s">
        <v>202</v>
      </c>
      <c r="E2" s="149" t="s">
        <v>203</v>
      </c>
      <c r="F2" s="155"/>
      <c r="G2" s="141"/>
      <c r="H2" s="91"/>
      <c r="I2" s="98"/>
    </row>
    <row r="3" spans="2:11" ht="33" customHeight="1" x14ac:dyDescent="0.25">
      <c r="B3" s="108" t="s">
        <v>231</v>
      </c>
      <c r="C3" s="109">
        <v>0</v>
      </c>
      <c r="D3" s="110">
        <f>'2.1 Orç Reab e Rest'!I56</f>
        <v>16037.53</v>
      </c>
      <c r="E3" s="150">
        <f>ROUND(D3*C3,2)</f>
        <v>0</v>
      </c>
      <c r="F3" s="156"/>
      <c r="G3" s="157"/>
      <c r="H3" s="100"/>
      <c r="I3" s="99"/>
    </row>
    <row r="4" spans="2:11" ht="33" customHeight="1" x14ac:dyDescent="0.25">
      <c r="B4" s="108" t="s">
        <v>232</v>
      </c>
      <c r="C4" s="109">
        <v>49.84</v>
      </c>
      <c r="D4" s="110">
        <f>'2.2 Orç Dup e Amp_Capacid'!I56</f>
        <v>23104.18</v>
      </c>
      <c r="E4" s="150">
        <f t="shared" ref="E4:E5" si="0">ROUND(D4*C4,2)</f>
        <v>1151512.33</v>
      </c>
      <c r="F4" s="156"/>
      <c r="G4" s="157"/>
      <c r="H4" s="100"/>
      <c r="I4" s="99"/>
    </row>
    <row r="5" spans="2:11" ht="33" customHeight="1" x14ac:dyDescent="0.25">
      <c r="B5" s="108" t="s">
        <v>233</v>
      </c>
      <c r="C5" s="109">
        <v>35.99</v>
      </c>
      <c r="D5" s="110">
        <f>'2.3 Orç Implant e Paviment'!I56</f>
        <v>18773.87</v>
      </c>
      <c r="E5" s="150">
        <f t="shared" si="0"/>
        <v>675671.58</v>
      </c>
      <c r="F5" s="156"/>
      <c r="G5" s="157"/>
      <c r="H5" s="100"/>
      <c r="I5" s="99"/>
    </row>
    <row r="6" spans="2:11" ht="28.5" customHeight="1" x14ac:dyDescent="0.25">
      <c r="B6" s="118" t="s">
        <v>7</v>
      </c>
      <c r="C6" s="119">
        <v>85.830000000000013</v>
      </c>
      <c r="D6" s="120" t="s">
        <v>84</v>
      </c>
      <c r="E6" s="151">
        <f>SUM(E3:E5)</f>
        <v>1827183.9100000001</v>
      </c>
      <c r="F6" s="154"/>
      <c r="G6" s="152"/>
      <c r="H6" s="100"/>
    </row>
    <row r="7" spans="2:11" x14ac:dyDescent="0.25">
      <c r="B7" s="98"/>
      <c r="C7" s="98"/>
      <c r="D7" s="98"/>
      <c r="E7" s="98"/>
      <c r="F7" s="98"/>
      <c r="G7" s="98"/>
      <c r="H7" s="101"/>
    </row>
    <row r="8" spans="2:11" ht="24" customHeight="1" x14ac:dyDescent="0.25">
      <c r="B8" s="236" t="s">
        <v>241</v>
      </c>
      <c r="C8" s="236"/>
      <c r="D8" s="236"/>
      <c r="E8" s="236"/>
      <c r="F8" s="236"/>
      <c r="K8" s="49"/>
    </row>
    <row r="9" spans="2:11" ht="39" customHeight="1" x14ac:dyDescent="0.25">
      <c r="B9" s="233" t="s">
        <v>235</v>
      </c>
      <c r="C9" s="233"/>
      <c r="D9" s="233"/>
      <c r="E9" s="233"/>
      <c r="F9" s="233"/>
      <c r="G9" s="103"/>
      <c r="H9" s="103"/>
      <c r="J9" s="77"/>
    </row>
    <row r="10" spans="2:11" ht="21.75" customHeight="1" x14ac:dyDescent="0.25">
      <c r="B10" s="231" t="s">
        <v>125</v>
      </c>
      <c r="C10" s="231" t="s">
        <v>126</v>
      </c>
      <c r="D10" s="231" t="s">
        <v>92</v>
      </c>
      <c r="E10" s="231" t="s">
        <v>127</v>
      </c>
      <c r="F10" s="231"/>
      <c r="G10" s="232"/>
      <c r="H10" s="232"/>
    </row>
    <row r="11" spans="2:11" ht="21.75" customHeight="1" x14ac:dyDescent="0.25">
      <c r="B11" s="231"/>
      <c r="C11" s="231"/>
      <c r="D11" s="231"/>
      <c r="E11" s="107" t="s">
        <v>6</v>
      </c>
      <c r="F11" s="107" t="s">
        <v>7</v>
      </c>
      <c r="G11" s="104"/>
      <c r="H11" s="104"/>
      <c r="J11" s="49"/>
    </row>
    <row r="12" spans="2:11" ht="36.75" customHeight="1" x14ac:dyDescent="0.25">
      <c r="B12" s="84" t="s">
        <v>211</v>
      </c>
      <c r="C12" s="85" t="s">
        <v>190</v>
      </c>
      <c r="D12" s="86">
        <v>24</v>
      </c>
      <c r="E12" s="158">
        <f>'Produto 1'!I48</f>
        <v>38880.69</v>
      </c>
      <c r="F12" s="158">
        <f>E12*D12</f>
        <v>933136.56</v>
      </c>
      <c r="G12" s="102"/>
      <c r="H12" s="102"/>
    </row>
    <row r="13" spans="2:11" ht="36.75" customHeight="1" x14ac:dyDescent="0.25">
      <c r="B13" s="84" t="s">
        <v>189</v>
      </c>
      <c r="C13" s="85" t="s">
        <v>94</v>
      </c>
      <c r="D13" s="86">
        <v>14088.1613</v>
      </c>
      <c r="E13" s="158">
        <f>F13/D13</f>
        <v>129.69640757875197</v>
      </c>
      <c r="F13" s="158">
        <f>E6</f>
        <v>1827183.9100000001</v>
      </c>
      <c r="G13" s="102"/>
      <c r="H13" s="102"/>
    </row>
    <row r="14" spans="2:11" ht="30.75" customHeight="1" x14ac:dyDescent="0.25">
      <c r="B14" s="228" t="s">
        <v>225</v>
      </c>
      <c r="C14" s="229"/>
      <c r="D14" s="229"/>
      <c r="E14" s="230"/>
      <c r="F14" s="158">
        <f>SUM(F12:F13)</f>
        <v>2760320.47</v>
      </c>
      <c r="G14" s="105"/>
      <c r="H14" s="106"/>
    </row>
    <row r="15" spans="2:11" ht="30.75" customHeight="1" x14ac:dyDescent="0.25">
      <c r="B15" s="228" t="s">
        <v>230</v>
      </c>
      <c r="C15" s="229"/>
      <c r="D15" s="229"/>
      <c r="E15" s="230"/>
      <c r="F15" s="132">
        <v>2760320.47</v>
      </c>
      <c r="G15" s="105"/>
      <c r="H15" s="106"/>
    </row>
    <row r="16" spans="2:11" ht="30.75" customHeight="1" x14ac:dyDescent="0.25">
      <c r="B16" s="228" t="s">
        <v>226</v>
      </c>
      <c r="C16" s="229"/>
      <c r="D16" s="229"/>
      <c r="E16" s="230"/>
      <c r="F16" s="132">
        <f>100-100*F14/F15</f>
        <v>0</v>
      </c>
      <c r="G16" s="105"/>
      <c r="H16" s="106"/>
    </row>
  </sheetData>
  <sheetProtection password="CC51" sheet="1" objects="1" scenarios="1"/>
  <mergeCells count="11">
    <mergeCell ref="G10:H10"/>
    <mergeCell ref="D10:D11"/>
    <mergeCell ref="E10:F10"/>
    <mergeCell ref="B9:F9"/>
    <mergeCell ref="B1:E1"/>
    <mergeCell ref="B8:F8"/>
    <mergeCell ref="B15:E15"/>
    <mergeCell ref="B16:E16"/>
    <mergeCell ref="B14:E14"/>
    <mergeCell ref="B10:B11"/>
    <mergeCell ref="C10:C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13"/>
  <sheetViews>
    <sheetView zoomScale="85" zoomScaleNormal="85" workbookViewId="0">
      <selection sqref="A1:Y1"/>
    </sheetView>
  </sheetViews>
  <sheetFormatPr defaultRowHeight="15" x14ac:dyDescent="0.25"/>
  <cols>
    <col min="1" max="1" width="56.85546875" customWidth="1"/>
    <col min="2" max="13" width="13.42578125" customWidth="1"/>
    <col min="14" max="25" width="13.42578125" hidden="1" customWidth="1"/>
    <col min="26" max="26" width="9.140625" customWidth="1"/>
    <col min="27" max="27" width="15" customWidth="1"/>
  </cols>
  <sheetData>
    <row r="1" spans="1:27" ht="30.75" customHeight="1" x14ac:dyDescent="0.25">
      <c r="A1" s="233" t="s">
        <v>269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7" ht="21.75" customHeight="1" x14ac:dyDescent="0.25">
      <c r="A2" s="231" t="s">
        <v>125</v>
      </c>
      <c r="B2" s="231" t="s">
        <v>246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 t="s">
        <v>247</v>
      </c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7" ht="21.75" customHeight="1" x14ac:dyDescent="0.25">
      <c r="A3" s="231"/>
      <c r="B3" s="167" t="s">
        <v>248</v>
      </c>
      <c r="C3" s="167" t="s">
        <v>249</v>
      </c>
      <c r="D3" s="167" t="s">
        <v>250</v>
      </c>
      <c r="E3" s="167" t="s">
        <v>251</v>
      </c>
      <c r="F3" s="167" t="s">
        <v>252</v>
      </c>
      <c r="G3" s="167" t="s">
        <v>253</v>
      </c>
      <c r="H3" s="167" t="s">
        <v>254</v>
      </c>
      <c r="I3" s="167" t="s">
        <v>255</v>
      </c>
      <c r="J3" s="167" t="s">
        <v>256</v>
      </c>
      <c r="K3" s="167" t="s">
        <v>257</v>
      </c>
      <c r="L3" s="167" t="s">
        <v>258</v>
      </c>
      <c r="M3" s="167" t="s">
        <v>259</v>
      </c>
      <c r="N3" s="167" t="s">
        <v>248</v>
      </c>
      <c r="O3" s="167" t="s">
        <v>249</v>
      </c>
      <c r="P3" s="167" t="s">
        <v>250</v>
      </c>
      <c r="Q3" s="167" t="s">
        <v>251</v>
      </c>
      <c r="R3" s="167" t="s">
        <v>252</v>
      </c>
      <c r="S3" s="167" t="s">
        <v>253</v>
      </c>
      <c r="T3" s="167" t="s">
        <v>254</v>
      </c>
      <c r="U3" s="167" t="s">
        <v>255</v>
      </c>
      <c r="V3" s="167" t="s">
        <v>256</v>
      </c>
      <c r="W3" s="167" t="s">
        <v>257</v>
      </c>
      <c r="X3" s="167" t="s">
        <v>258</v>
      </c>
      <c r="Y3" s="167" t="s">
        <v>259</v>
      </c>
    </row>
    <row r="4" spans="1:27" ht="40.5" customHeight="1" x14ac:dyDescent="0.25">
      <c r="A4" s="168" t="s">
        <v>260</v>
      </c>
      <c r="B4" s="169">
        <f>'Produto 1'!$I$48</f>
        <v>38880.69</v>
      </c>
      <c r="C4" s="169">
        <f>'Produto 1'!$I$48</f>
        <v>38880.69</v>
      </c>
      <c r="D4" s="169">
        <f>'Produto 1'!$I$48</f>
        <v>38880.69</v>
      </c>
      <c r="E4" s="169">
        <f>'Produto 1'!$I$48</f>
        <v>38880.69</v>
      </c>
      <c r="F4" s="169">
        <f>'Produto 1'!$I$48</f>
        <v>38880.69</v>
      </c>
      <c r="G4" s="169">
        <f>'Produto 1'!$I$48</f>
        <v>38880.69</v>
      </c>
      <c r="H4" s="169">
        <f>'Produto 1'!$I$48</f>
        <v>38880.69</v>
      </c>
      <c r="I4" s="169">
        <f>'Produto 1'!$I$48</f>
        <v>38880.69</v>
      </c>
      <c r="J4" s="169">
        <f>'Produto 1'!$I$48</f>
        <v>38880.69</v>
      </c>
      <c r="K4" s="169">
        <f>'Produto 1'!$I$48</f>
        <v>38880.69</v>
      </c>
      <c r="L4" s="169">
        <f>'Produto 1'!$I$48</f>
        <v>38880.69</v>
      </c>
      <c r="M4" s="169">
        <f>'Produto 1'!$I$48</f>
        <v>38880.69</v>
      </c>
      <c r="N4" s="169">
        <f>'Produto 1'!$I$48</f>
        <v>38880.69</v>
      </c>
      <c r="O4" s="169">
        <f>'Produto 1'!$I$48</f>
        <v>38880.69</v>
      </c>
      <c r="P4" s="169">
        <f>'Produto 1'!$I$48</f>
        <v>38880.69</v>
      </c>
      <c r="Q4" s="169">
        <f>'Produto 1'!$I$48</f>
        <v>38880.69</v>
      </c>
      <c r="R4" s="169">
        <f>'Produto 1'!$I$48</f>
        <v>38880.69</v>
      </c>
      <c r="S4" s="169">
        <f>'Produto 1'!$I$48</f>
        <v>38880.69</v>
      </c>
      <c r="T4" s="169">
        <f>'Produto 1'!$I$48</f>
        <v>38880.69</v>
      </c>
      <c r="U4" s="169">
        <f>'Produto 1'!$I$48</f>
        <v>38880.69</v>
      </c>
      <c r="V4" s="169">
        <f>'Produto 1'!$I$48</f>
        <v>38880.69</v>
      </c>
      <c r="W4" s="169">
        <f>'Produto 1'!$I$48</f>
        <v>38880.69</v>
      </c>
      <c r="X4" s="169">
        <f>'Produto 1'!$I$48</f>
        <v>38880.69</v>
      </c>
      <c r="Y4" s="169">
        <f>'Produto 1'!$I$48</f>
        <v>38880.69</v>
      </c>
      <c r="AA4" s="170"/>
    </row>
    <row r="5" spans="1:27" ht="44.25" customHeight="1" x14ac:dyDescent="0.25">
      <c r="A5" s="168" t="s">
        <v>189</v>
      </c>
      <c r="B5" s="169">
        <f>B6+B9</f>
        <v>14666.551807320107</v>
      </c>
      <c r="C5" s="169">
        <f t="shared" ref="C5:Y5" si="0">C6+C9</f>
        <v>14666.551807320107</v>
      </c>
      <c r="D5" s="169">
        <f t="shared" si="0"/>
        <v>14666.551807320107</v>
      </c>
      <c r="E5" s="169">
        <f t="shared" si="0"/>
        <v>151809.0182049592</v>
      </c>
      <c r="F5" s="169">
        <f t="shared" si="0"/>
        <v>151809.0182049592</v>
      </c>
      <c r="G5" s="169">
        <f t="shared" si="0"/>
        <v>151809.0182049592</v>
      </c>
      <c r="H5" s="169">
        <f t="shared" si="0"/>
        <v>179851.45666600665</v>
      </c>
      <c r="I5" s="169">
        <f t="shared" si="0"/>
        <v>179851.45666600665</v>
      </c>
      <c r="J5" s="169">
        <f t="shared" si="0"/>
        <v>179851.45666600665</v>
      </c>
      <c r="K5" s="169">
        <f t="shared" si="0"/>
        <v>96636.756539612616</v>
      </c>
      <c r="L5" s="169">
        <f t="shared" si="0"/>
        <v>96636.756539612616</v>
      </c>
      <c r="M5" s="169">
        <f t="shared" si="0"/>
        <v>96636.756539612616</v>
      </c>
      <c r="N5" s="169">
        <f t="shared" si="0"/>
        <v>81970.204732292506</v>
      </c>
      <c r="O5" s="169">
        <f t="shared" si="0"/>
        <v>81970.204732292506</v>
      </c>
      <c r="P5" s="169">
        <f t="shared" si="0"/>
        <v>81970.204732292506</v>
      </c>
      <c r="Q5" s="169">
        <f t="shared" si="0"/>
        <v>28042.438461047437</v>
      </c>
      <c r="R5" s="169">
        <f t="shared" si="0"/>
        <v>28042.438461047437</v>
      </c>
      <c r="S5" s="169">
        <f t="shared" si="0"/>
        <v>28042.438461047437</v>
      </c>
      <c r="T5" s="169">
        <f t="shared" si="0"/>
        <v>28042.438461047437</v>
      </c>
      <c r="U5" s="169">
        <f t="shared" si="0"/>
        <v>28042.438461047437</v>
      </c>
      <c r="V5" s="169">
        <f t="shared" si="0"/>
        <v>28042.438461047437</v>
      </c>
      <c r="W5" s="169">
        <f t="shared" si="0"/>
        <v>28042.438461047437</v>
      </c>
      <c r="X5" s="169">
        <f t="shared" si="0"/>
        <v>28042.438461047437</v>
      </c>
      <c r="Y5" s="169">
        <f t="shared" si="0"/>
        <v>28042.438461047437</v>
      </c>
      <c r="AA5" s="170"/>
    </row>
    <row r="6" spans="1:27" ht="33" customHeight="1" x14ac:dyDescent="0.25">
      <c r="A6" s="108" t="s">
        <v>261</v>
      </c>
      <c r="B6" s="110">
        <f>B7+B8</f>
        <v>14666.551807320107</v>
      </c>
      <c r="C6" s="110">
        <f t="shared" ref="C6:Y6" si="1">C7+C8</f>
        <v>14666.551807320107</v>
      </c>
      <c r="D6" s="110">
        <f t="shared" si="1"/>
        <v>14666.551807320107</v>
      </c>
      <c r="E6" s="110">
        <f t="shared" si="1"/>
        <v>97881.251933714142</v>
      </c>
      <c r="F6" s="110">
        <f t="shared" si="1"/>
        <v>97881.251933714142</v>
      </c>
      <c r="G6" s="110">
        <f t="shared" si="1"/>
        <v>97881.251933714142</v>
      </c>
      <c r="H6" s="110">
        <f t="shared" si="1"/>
        <v>97881.251933714142</v>
      </c>
      <c r="I6" s="110">
        <f t="shared" si="1"/>
        <v>97881.251933714142</v>
      </c>
      <c r="J6" s="110">
        <f t="shared" si="1"/>
        <v>97881.251933714142</v>
      </c>
      <c r="K6" s="110">
        <f t="shared" si="1"/>
        <v>14666.551807320107</v>
      </c>
      <c r="L6" s="110">
        <f t="shared" si="1"/>
        <v>14666.551807320107</v>
      </c>
      <c r="M6" s="110">
        <f t="shared" si="1"/>
        <v>14666.551807320107</v>
      </c>
      <c r="N6" s="110">
        <f t="shared" si="1"/>
        <v>0</v>
      </c>
      <c r="O6" s="110">
        <f t="shared" si="1"/>
        <v>0</v>
      </c>
      <c r="P6" s="110">
        <f t="shared" si="1"/>
        <v>0</v>
      </c>
      <c r="Q6" s="110">
        <f t="shared" si="1"/>
        <v>0</v>
      </c>
      <c r="R6" s="110">
        <f t="shared" si="1"/>
        <v>0</v>
      </c>
      <c r="S6" s="110">
        <f t="shared" si="1"/>
        <v>0</v>
      </c>
      <c r="T6" s="110">
        <f t="shared" si="1"/>
        <v>0</v>
      </c>
      <c r="U6" s="110">
        <f t="shared" si="1"/>
        <v>0</v>
      </c>
      <c r="V6" s="110">
        <f t="shared" si="1"/>
        <v>0</v>
      </c>
      <c r="W6" s="110">
        <f t="shared" si="1"/>
        <v>0</v>
      </c>
      <c r="X6" s="110">
        <f t="shared" si="1"/>
        <v>0</v>
      </c>
      <c r="Y6" s="110">
        <f t="shared" si="1"/>
        <v>0</v>
      </c>
      <c r="AA6" s="170"/>
    </row>
    <row r="7" spans="1:27" ht="74.25" customHeight="1" x14ac:dyDescent="0.25">
      <c r="A7" s="171" t="s">
        <v>262</v>
      </c>
      <c r="B7" s="110">
        <f>9.38*144.67*'PROPOSTA PREÇO'!$E$13/12</f>
        <v>14666.551807320107</v>
      </c>
      <c r="C7" s="110">
        <f>9.38*144.67*'PROPOSTA PREÇO'!$E$13/12</f>
        <v>14666.551807320107</v>
      </c>
      <c r="D7" s="110">
        <f>9.38*144.67*'PROPOSTA PREÇO'!$E$13/12</f>
        <v>14666.551807320107</v>
      </c>
      <c r="E7" s="110">
        <f>9.38*144.67*'PROPOSTA PREÇO'!$E$13/12</f>
        <v>14666.551807320107</v>
      </c>
      <c r="F7" s="110">
        <f>9.38*144.67*'PROPOSTA PREÇO'!$E$13/12</f>
        <v>14666.551807320107</v>
      </c>
      <c r="G7" s="110">
        <f>9.38*144.67*'PROPOSTA PREÇO'!$E$13/12</f>
        <v>14666.551807320107</v>
      </c>
      <c r="H7" s="110">
        <f>9.38*144.67*'PROPOSTA PREÇO'!$E$13/12</f>
        <v>14666.551807320107</v>
      </c>
      <c r="I7" s="110">
        <f>9.38*144.67*'PROPOSTA PREÇO'!$E$13/12</f>
        <v>14666.551807320107</v>
      </c>
      <c r="J7" s="110">
        <f>9.38*144.67*'PROPOSTA PREÇO'!$E$13/12</f>
        <v>14666.551807320107</v>
      </c>
      <c r="K7" s="110">
        <f>9.38*144.67*'PROPOSTA PREÇO'!$E$13/12</f>
        <v>14666.551807320107</v>
      </c>
      <c r="L7" s="110">
        <f>9.38*144.67*'PROPOSTA PREÇO'!$E$13/12</f>
        <v>14666.551807320107</v>
      </c>
      <c r="M7" s="110">
        <f>9.38*144.67*'PROPOSTA PREÇO'!$E$13/12</f>
        <v>14666.551807320107</v>
      </c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AA7" s="170"/>
    </row>
    <row r="8" spans="1:27" ht="130.5" customHeight="1" x14ac:dyDescent="0.25">
      <c r="A8" s="171" t="s">
        <v>263</v>
      </c>
      <c r="B8" s="110"/>
      <c r="C8" s="110"/>
      <c r="D8" s="173"/>
      <c r="E8" s="110">
        <f>26.61*144.67*'PROPOSTA PREÇO'!$E$13/6</f>
        <v>83214.700126394033</v>
      </c>
      <c r="F8" s="110">
        <f>26.61*144.67*'PROPOSTA PREÇO'!$E$13/6</f>
        <v>83214.700126394033</v>
      </c>
      <c r="G8" s="110">
        <f>26.61*144.67*'PROPOSTA PREÇO'!$E$13/6</f>
        <v>83214.700126394033</v>
      </c>
      <c r="H8" s="110">
        <f>26.61*144.67*'PROPOSTA PREÇO'!$E$13/6</f>
        <v>83214.700126394033</v>
      </c>
      <c r="I8" s="110">
        <f>26.61*144.67*'PROPOSTA PREÇO'!$E$13/6</f>
        <v>83214.700126394033</v>
      </c>
      <c r="J8" s="110">
        <f>26.61*144.67*'PROPOSTA PREÇO'!$E$13/6</f>
        <v>83214.700126394033</v>
      </c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AA8" s="170"/>
    </row>
    <row r="9" spans="1:27" ht="33" customHeight="1" x14ac:dyDescent="0.25">
      <c r="A9" s="108" t="s">
        <v>264</v>
      </c>
      <c r="B9" s="110">
        <f>B10+B11</f>
        <v>0</v>
      </c>
      <c r="C9" s="110">
        <f t="shared" ref="C9:Y9" si="2">C10+C11</f>
        <v>0</v>
      </c>
      <c r="D9" s="110">
        <f t="shared" si="2"/>
        <v>0</v>
      </c>
      <c r="E9" s="110">
        <f t="shared" si="2"/>
        <v>53927.766271245062</v>
      </c>
      <c r="F9" s="110">
        <f t="shared" si="2"/>
        <v>53927.766271245062</v>
      </c>
      <c r="G9" s="110">
        <f t="shared" si="2"/>
        <v>53927.766271245062</v>
      </c>
      <c r="H9" s="110">
        <f t="shared" si="2"/>
        <v>81970.204732292506</v>
      </c>
      <c r="I9" s="110">
        <f t="shared" si="2"/>
        <v>81970.204732292506</v>
      </c>
      <c r="J9" s="110">
        <f t="shared" si="2"/>
        <v>81970.204732292506</v>
      </c>
      <c r="K9" s="110">
        <f t="shared" si="2"/>
        <v>81970.204732292506</v>
      </c>
      <c r="L9" s="110">
        <f t="shared" si="2"/>
        <v>81970.204732292506</v>
      </c>
      <c r="M9" s="110">
        <f t="shared" si="2"/>
        <v>81970.204732292506</v>
      </c>
      <c r="N9" s="110">
        <f t="shared" si="2"/>
        <v>81970.204732292506</v>
      </c>
      <c r="O9" s="110">
        <f t="shared" si="2"/>
        <v>81970.204732292506</v>
      </c>
      <c r="P9" s="110">
        <f t="shared" si="2"/>
        <v>81970.204732292506</v>
      </c>
      <c r="Q9" s="110">
        <f t="shared" si="2"/>
        <v>28042.438461047437</v>
      </c>
      <c r="R9" s="110">
        <f t="shared" si="2"/>
        <v>28042.438461047437</v>
      </c>
      <c r="S9" s="110">
        <f t="shared" si="2"/>
        <v>28042.438461047437</v>
      </c>
      <c r="T9" s="110">
        <f t="shared" si="2"/>
        <v>28042.438461047437</v>
      </c>
      <c r="U9" s="110">
        <f t="shared" si="2"/>
        <v>28042.438461047437</v>
      </c>
      <c r="V9" s="110">
        <f t="shared" si="2"/>
        <v>28042.438461047437</v>
      </c>
      <c r="W9" s="110">
        <f t="shared" si="2"/>
        <v>28042.438461047437</v>
      </c>
      <c r="X9" s="110">
        <f t="shared" si="2"/>
        <v>28042.438461047437</v>
      </c>
      <c r="Y9" s="110">
        <f t="shared" si="2"/>
        <v>28042.438461047437</v>
      </c>
      <c r="AA9" s="170"/>
    </row>
    <row r="10" spans="1:27" ht="74.25" customHeight="1" x14ac:dyDescent="0.25">
      <c r="A10" s="171" t="s">
        <v>265</v>
      </c>
      <c r="B10" s="110"/>
      <c r="C10" s="110"/>
      <c r="D10" s="173"/>
      <c r="E10" s="110">
        <f>28*178.2*'PROPOSTA PREÇO'!$E$13/12</f>
        <v>53927.766271245062</v>
      </c>
      <c r="F10" s="110">
        <f>28*178.2*'PROPOSTA PREÇO'!$E$13/12</f>
        <v>53927.766271245062</v>
      </c>
      <c r="G10" s="110">
        <f>28*178.2*'PROPOSTA PREÇO'!$E$13/12</f>
        <v>53927.766271245062</v>
      </c>
      <c r="H10" s="110">
        <f>28*178.2*'PROPOSTA PREÇO'!$E$13/12</f>
        <v>53927.766271245062</v>
      </c>
      <c r="I10" s="110">
        <f>28*178.2*'PROPOSTA PREÇO'!$E$13/12</f>
        <v>53927.766271245062</v>
      </c>
      <c r="J10" s="110">
        <f>28*178.2*'PROPOSTA PREÇO'!$E$13/12</f>
        <v>53927.766271245062</v>
      </c>
      <c r="K10" s="110">
        <f>28*178.2*'PROPOSTA PREÇO'!$E$13/12</f>
        <v>53927.766271245062</v>
      </c>
      <c r="L10" s="110">
        <f>28*178.2*'PROPOSTA PREÇO'!$E$13/12</f>
        <v>53927.766271245062</v>
      </c>
      <c r="M10" s="110">
        <f>28*178.2*'PROPOSTA PREÇO'!$E$13/12</f>
        <v>53927.766271245062</v>
      </c>
      <c r="N10" s="110">
        <f>28*178.2*'PROPOSTA PREÇO'!$E$13/12</f>
        <v>53927.766271245062</v>
      </c>
      <c r="O10" s="110">
        <f>28*178.2*'PROPOSTA PREÇO'!$E$13/12</f>
        <v>53927.766271245062</v>
      </c>
      <c r="P10" s="110">
        <f>28*178.2*'PROPOSTA PREÇO'!$E$13/12</f>
        <v>53927.766271245062</v>
      </c>
      <c r="Q10" s="172"/>
      <c r="R10" s="172"/>
      <c r="S10" s="172"/>
      <c r="T10" s="172"/>
      <c r="U10" s="172"/>
      <c r="V10" s="172"/>
      <c r="W10" s="172"/>
      <c r="X10" s="172"/>
      <c r="Y10" s="172"/>
      <c r="AA10" s="170"/>
    </row>
    <row r="11" spans="1:27" ht="75" customHeight="1" x14ac:dyDescent="0.25">
      <c r="A11" s="171" t="s">
        <v>266</v>
      </c>
      <c r="B11" s="110"/>
      <c r="C11" s="110"/>
      <c r="D11" s="173"/>
      <c r="E11" s="174"/>
      <c r="F11" s="172"/>
      <c r="G11" s="172"/>
      <c r="H11" s="110">
        <f>21.84*178.2*'PROPOSTA PREÇO'!$E$13/18</f>
        <v>28042.438461047437</v>
      </c>
      <c r="I11" s="110">
        <f>21.84*178.2*'PROPOSTA PREÇO'!$E$13/18</f>
        <v>28042.438461047437</v>
      </c>
      <c r="J11" s="110">
        <f>21.84*178.2*'PROPOSTA PREÇO'!$E$13/18</f>
        <v>28042.438461047437</v>
      </c>
      <c r="K11" s="110">
        <f>21.84*178.2*'PROPOSTA PREÇO'!$E$13/18</f>
        <v>28042.438461047437</v>
      </c>
      <c r="L11" s="110">
        <f>21.84*178.2*'PROPOSTA PREÇO'!$E$13/18</f>
        <v>28042.438461047437</v>
      </c>
      <c r="M11" s="110">
        <f>21.84*178.2*'PROPOSTA PREÇO'!$E$13/18</f>
        <v>28042.438461047437</v>
      </c>
      <c r="N11" s="110">
        <f>21.84*178.2*'PROPOSTA PREÇO'!$E$13/18</f>
        <v>28042.438461047437</v>
      </c>
      <c r="O11" s="110">
        <f>21.84*178.2*'PROPOSTA PREÇO'!$E$13/18</f>
        <v>28042.438461047437</v>
      </c>
      <c r="P11" s="110">
        <f>21.84*178.2*'PROPOSTA PREÇO'!$E$13/18</f>
        <v>28042.438461047437</v>
      </c>
      <c r="Q11" s="110">
        <f>21.84*178.2*'PROPOSTA PREÇO'!$E$13/18</f>
        <v>28042.438461047437</v>
      </c>
      <c r="R11" s="110">
        <f>21.84*178.2*'PROPOSTA PREÇO'!$E$13/18</f>
        <v>28042.438461047437</v>
      </c>
      <c r="S11" s="110">
        <f>21.84*178.2*'PROPOSTA PREÇO'!$E$13/18</f>
        <v>28042.438461047437</v>
      </c>
      <c r="T11" s="110">
        <f>21.84*178.2*'PROPOSTA PREÇO'!$E$13/18</f>
        <v>28042.438461047437</v>
      </c>
      <c r="U11" s="110">
        <f>21.84*178.2*'PROPOSTA PREÇO'!$E$13/18</f>
        <v>28042.438461047437</v>
      </c>
      <c r="V11" s="110">
        <f>21.84*178.2*'PROPOSTA PREÇO'!$E$13/18</f>
        <v>28042.438461047437</v>
      </c>
      <c r="W11" s="110">
        <f>21.84*178.2*'PROPOSTA PREÇO'!$E$13/18</f>
        <v>28042.438461047437</v>
      </c>
      <c r="X11" s="110">
        <f>21.84*178.2*'PROPOSTA PREÇO'!$E$13/18</f>
        <v>28042.438461047437</v>
      </c>
      <c r="Y11" s="110">
        <f>21.84*178.2*'PROPOSTA PREÇO'!$E$13/18</f>
        <v>28042.438461047437</v>
      </c>
      <c r="AA11" s="170"/>
    </row>
    <row r="12" spans="1:27" ht="26.25" customHeight="1" x14ac:dyDescent="0.25">
      <c r="A12" s="175" t="s">
        <v>267</v>
      </c>
      <c r="B12" s="176">
        <f>B4+B5</f>
        <v>53547.241807320112</v>
      </c>
      <c r="C12" s="176">
        <f t="shared" ref="C12:Y12" si="3">C4+C5</f>
        <v>53547.241807320112</v>
      </c>
      <c r="D12" s="176">
        <f t="shared" si="3"/>
        <v>53547.241807320112</v>
      </c>
      <c r="E12" s="176">
        <f t="shared" si="3"/>
        <v>190689.7082049592</v>
      </c>
      <c r="F12" s="176">
        <f t="shared" si="3"/>
        <v>190689.7082049592</v>
      </c>
      <c r="G12" s="176">
        <f t="shared" si="3"/>
        <v>190689.7082049592</v>
      </c>
      <c r="H12" s="176">
        <f t="shared" si="3"/>
        <v>218732.14666600665</v>
      </c>
      <c r="I12" s="176">
        <f t="shared" si="3"/>
        <v>218732.14666600665</v>
      </c>
      <c r="J12" s="176">
        <f t="shared" si="3"/>
        <v>218732.14666600665</v>
      </c>
      <c r="K12" s="176">
        <f t="shared" si="3"/>
        <v>135517.4465396126</v>
      </c>
      <c r="L12" s="176">
        <f t="shared" si="3"/>
        <v>135517.4465396126</v>
      </c>
      <c r="M12" s="176">
        <f t="shared" si="3"/>
        <v>135517.4465396126</v>
      </c>
      <c r="N12" s="176">
        <f t="shared" si="3"/>
        <v>120850.89473229251</v>
      </c>
      <c r="O12" s="176">
        <f t="shared" si="3"/>
        <v>120850.89473229251</v>
      </c>
      <c r="P12" s="176">
        <f t="shared" si="3"/>
        <v>120850.89473229251</v>
      </c>
      <c r="Q12" s="176">
        <f t="shared" si="3"/>
        <v>66923.128461047439</v>
      </c>
      <c r="R12" s="176">
        <f t="shared" si="3"/>
        <v>66923.128461047439</v>
      </c>
      <c r="S12" s="176">
        <f t="shared" si="3"/>
        <v>66923.128461047439</v>
      </c>
      <c r="T12" s="176">
        <f t="shared" si="3"/>
        <v>66923.128461047439</v>
      </c>
      <c r="U12" s="176">
        <f t="shared" si="3"/>
        <v>66923.128461047439</v>
      </c>
      <c r="V12" s="176">
        <f t="shared" si="3"/>
        <v>66923.128461047439</v>
      </c>
      <c r="W12" s="176">
        <f t="shared" si="3"/>
        <v>66923.128461047439</v>
      </c>
      <c r="X12" s="176">
        <f t="shared" si="3"/>
        <v>66923.128461047439</v>
      </c>
      <c r="Y12" s="176">
        <f t="shared" si="3"/>
        <v>66923.128461047439</v>
      </c>
    </row>
    <row r="13" spans="1:27" ht="26.25" customHeight="1" x14ac:dyDescent="0.25">
      <c r="A13" s="175" t="s">
        <v>268</v>
      </c>
      <c r="B13" s="176">
        <f>B12</f>
        <v>53547.241807320112</v>
      </c>
      <c r="C13" s="176">
        <f>C12+B13</f>
        <v>107094.48361464022</v>
      </c>
      <c r="D13" s="176">
        <f t="shared" ref="D13:Y13" si="4">D12+C13</f>
        <v>160641.72542196035</v>
      </c>
      <c r="E13" s="176">
        <f t="shared" si="4"/>
        <v>351331.43362691952</v>
      </c>
      <c r="F13" s="176">
        <f t="shared" si="4"/>
        <v>542021.14183187869</v>
      </c>
      <c r="G13" s="176">
        <f t="shared" si="4"/>
        <v>732710.85003683786</v>
      </c>
      <c r="H13" s="176">
        <f t="shared" si="4"/>
        <v>951442.99670284451</v>
      </c>
      <c r="I13" s="176">
        <f t="shared" si="4"/>
        <v>1170175.1433688512</v>
      </c>
      <c r="J13" s="176">
        <f t="shared" si="4"/>
        <v>1388907.2900348578</v>
      </c>
      <c r="K13" s="176">
        <f t="shared" si="4"/>
        <v>1524424.7365744705</v>
      </c>
      <c r="L13" s="176">
        <f t="shared" si="4"/>
        <v>1659942.183114083</v>
      </c>
      <c r="M13" s="176">
        <f t="shared" si="4"/>
        <v>1795459.6296536955</v>
      </c>
      <c r="N13" s="176">
        <f t="shared" si="4"/>
        <v>1916310.524385988</v>
      </c>
      <c r="O13" s="176">
        <f t="shared" si="4"/>
        <v>2037161.4191182805</v>
      </c>
      <c r="P13" s="176">
        <f t="shared" si="4"/>
        <v>2158012.3138505733</v>
      </c>
      <c r="Q13" s="176">
        <f t="shared" si="4"/>
        <v>2224935.4423116208</v>
      </c>
      <c r="R13" s="176">
        <f t="shared" si="4"/>
        <v>2291858.5707726683</v>
      </c>
      <c r="S13" s="176">
        <f t="shared" si="4"/>
        <v>2358781.6992337159</v>
      </c>
      <c r="T13" s="176">
        <f t="shared" si="4"/>
        <v>2425704.8276947634</v>
      </c>
      <c r="U13" s="176">
        <f t="shared" si="4"/>
        <v>2492627.956155811</v>
      </c>
      <c r="V13" s="176">
        <f t="shared" si="4"/>
        <v>2559551.0846168585</v>
      </c>
      <c r="W13" s="176">
        <f t="shared" si="4"/>
        <v>2626474.2130779061</v>
      </c>
      <c r="X13" s="176">
        <f t="shared" si="4"/>
        <v>2693397.3415389536</v>
      </c>
      <c r="Y13" s="176">
        <f t="shared" si="4"/>
        <v>2760320.4700000011</v>
      </c>
    </row>
  </sheetData>
  <sheetProtection password="CC51" sheet="1" objects="1" scenarios="1"/>
  <mergeCells count="4">
    <mergeCell ref="A1:Y1"/>
    <mergeCell ref="A2:A3"/>
    <mergeCell ref="B2:M2"/>
    <mergeCell ref="N2:Y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13"/>
  <sheetViews>
    <sheetView zoomScale="85" zoomScaleNormal="85" workbookViewId="0">
      <selection activeCell="S9" sqref="S9"/>
    </sheetView>
  </sheetViews>
  <sheetFormatPr defaultRowHeight="15" x14ac:dyDescent="0.25"/>
  <cols>
    <col min="1" max="1" width="56.85546875" customWidth="1"/>
    <col min="2" max="13" width="13.42578125" hidden="1" customWidth="1"/>
    <col min="14" max="25" width="13.42578125" customWidth="1"/>
    <col min="26" max="26" width="9.140625" customWidth="1"/>
    <col min="27" max="27" width="15" customWidth="1"/>
  </cols>
  <sheetData>
    <row r="1" spans="1:27" ht="30.75" customHeight="1" x14ac:dyDescent="0.25">
      <c r="A1" s="233" t="s">
        <v>269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7" ht="21.75" customHeight="1" x14ac:dyDescent="0.25">
      <c r="A2" s="231" t="s">
        <v>125</v>
      </c>
      <c r="B2" s="231" t="s">
        <v>246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 t="s">
        <v>247</v>
      </c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7" ht="21.75" customHeight="1" x14ac:dyDescent="0.25">
      <c r="A3" s="231"/>
      <c r="B3" s="167" t="s">
        <v>248</v>
      </c>
      <c r="C3" s="167" t="s">
        <v>249</v>
      </c>
      <c r="D3" s="167" t="s">
        <v>250</v>
      </c>
      <c r="E3" s="167" t="s">
        <v>251</v>
      </c>
      <c r="F3" s="167" t="s">
        <v>252</v>
      </c>
      <c r="G3" s="167" t="s">
        <v>253</v>
      </c>
      <c r="H3" s="167" t="s">
        <v>254</v>
      </c>
      <c r="I3" s="167" t="s">
        <v>255</v>
      </c>
      <c r="J3" s="167" t="s">
        <v>256</v>
      </c>
      <c r="K3" s="167" t="s">
        <v>257</v>
      </c>
      <c r="L3" s="167" t="s">
        <v>258</v>
      </c>
      <c r="M3" s="167" t="s">
        <v>259</v>
      </c>
      <c r="N3" s="167" t="s">
        <v>248</v>
      </c>
      <c r="O3" s="167" t="s">
        <v>249</v>
      </c>
      <c r="P3" s="167" t="s">
        <v>250</v>
      </c>
      <c r="Q3" s="167" t="s">
        <v>251</v>
      </c>
      <c r="R3" s="167" t="s">
        <v>252</v>
      </c>
      <c r="S3" s="167" t="s">
        <v>253</v>
      </c>
      <c r="T3" s="167" t="s">
        <v>254</v>
      </c>
      <c r="U3" s="167" t="s">
        <v>255</v>
      </c>
      <c r="V3" s="167" t="s">
        <v>256</v>
      </c>
      <c r="W3" s="167" t="s">
        <v>257</v>
      </c>
      <c r="X3" s="167" t="s">
        <v>258</v>
      </c>
      <c r="Y3" s="167" t="s">
        <v>259</v>
      </c>
    </row>
    <row r="4" spans="1:27" ht="40.5" customHeight="1" x14ac:dyDescent="0.25">
      <c r="A4" s="168" t="s">
        <v>260</v>
      </c>
      <c r="B4" s="169">
        <f>'Produto 1'!$I$48</f>
        <v>38880.69</v>
      </c>
      <c r="C4" s="169">
        <f>'Produto 1'!$I$48</f>
        <v>38880.69</v>
      </c>
      <c r="D4" s="169">
        <f>'Produto 1'!$I$48</f>
        <v>38880.69</v>
      </c>
      <c r="E4" s="169">
        <f>'Produto 1'!$I$48</f>
        <v>38880.69</v>
      </c>
      <c r="F4" s="169">
        <f>'Produto 1'!$I$48</f>
        <v>38880.69</v>
      </c>
      <c r="G4" s="169">
        <f>'Produto 1'!$I$48</f>
        <v>38880.69</v>
      </c>
      <c r="H4" s="169">
        <f>'Produto 1'!$I$48</f>
        <v>38880.69</v>
      </c>
      <c r="I4" s="169">
        <f>'Produto 1'!$I$48</f>
        <v>38880.69</v>
      </c>
      <c r="J4" s="169">
        <f>'Produto 1'!$I$48</f>
        <v>38880.69</v>
      </c>
      <c r="K4" s="169">
        <f>'Produto 1'!$I$48</f>
        <v>38880.69</v>
      </c>
      <c r="L4" s="169">
        <f>'Produto 1'!$I$48</f>
        <v>38880.69</v>
      </c>
      <c r="M4" s="169">
        <f>'Produto 1'!$I$48</f>
        <v>38880.69</v>
      </c>
      <c r="N4" s="169">
        <f>'Produto 1'!$I$48</f>
        <v>38880.69</v>
      </c>
      <c r="O4" s="169">
        <f>'Produto 1'!$I$48</f>
        <v>38880.69</v>
      </c>
      <c r="P4" s="169">
        <f>'Produto 1'!$I$48</f>
        <v>38880.69</v>
      </c>
      <c r="Q4" s="169">
        <f>'Produto 1'!$I$48</f>
        <v>38880.69</v>
      </c>
      <c r="R4" s="169">
        <f>'Produto 1'!$I$48</f>
        <v>38880.69</v>
      </c>
      <c r="S4" s="169">
        <f>'Produto 1'!$I$48</f>
        <v>38880.69</v>
      </c>
      <c r="T4" s="169">
        <f>'Produto 1'!$I$48</f>
        <v>38880.69</v>
      </c>
      <c r="U4" s="169">
        <f>'Produto 1'!$I$48</f>
        <v>38880.69</v>
      </c>
      <c r="V4" s="169">
        <f>'Produto 1'!$I$48</f>
        <v>38880.69</v>
      </c>
      <c r="W4" s="169">
        <f>'Produto 1'!$I$48</f>
        <v>38880.69</v>
      </c>
      <c r="X4" s="169">
        <f>'Produto 1'!$I$48</f>
        <v>38880.69</v>
      </c>
      <c r="Y4" s="169">
        <f>'Produto 1'!$I$48</f>
        <v>38880.69</v>
      </c>
      <c r="AA4" s="170"/>
    </row>
    <row r="5" spans="1:27" ht="44.25" customHeight="1" x14ac:dyDescent="0.25">
      <c r="A5" s="168" t="s">
        <v>189</v>
      </c>
      <c r="B5" s="169">
        <f>B6+B9</f>
        <v>14666.551807320107</v>
      </c>
      <c r="C5" s="169">
        <f t="shared" ref="C5:Y5" si="0">C6+C9</f>
        <v>14666.551807320107</v>
      </c>
      <c r="D5" s="169">
        <f t="shared" si="0"/>
        <v>14666.551807320107</v>
      </c>
      <c r="E5" s="169">
        <f t="shared" si="0"/>
        <v>151809.0182049592</v>
      </c>
      <c r="F5" s="169">
        <f t="shared" si="0"/>
        <v>151809.0182049592</v>
      </c>
      <c r="G5" s="169">
        <f t="shared" si="0"/>
        <v>151809.0182049592</v>
      </c>
      <c r="H5" s="169">
        <f t="shared" si="0"/>
        <v>179851.45666600665</v>
      </c>
      <c r="I5" s="169">
        <f t="shared" si="0"/>
        <v>179851.45666600665</v>
      </c>
      <c r="J5" s="169">
        <f t="shared" si="0"/>
        <v>179851.45666600665</v>
      </c>
      <c r="K5" s="169">
        <f t="shared" si="0"/>
        <v>96636.756539612616</v>
      </c>
      <c r="L5" s="169">
        <f t="shared" si="0"/>
        <v>96636.756539612616</v>
      </c>
      <c r="M5" s="169">
        <f t="shared" si="0"/>
        <v>96636.756539612616</v>
      </c>
      <c r="N5" s="169">
        <f t="shared" si="0"/>
        <v>81970.204732292506</v>
      </c>
      <c r="O5" s="169">
        <f t="shared" si="0"/>
        <v>81970.204732292506</v>
      </c>
      <c r="P5" s="169">
        <f t="shared" si="0"/>
        <v>81970.204732292506</v>
      </c>
      <c r="Q5" s="169">
        <f t="shared" si="0"/>
        <v>28042.438461047437</v>
      </c>
      <c r="R5" s="169">
        <f t="shared" si="0"/>
        <v>28042.438461047437</v>
      </c>
      <c r="S5" s="169">
        <f t="shared" si="0"/>
        <v>28042.438461047437</v>
      </c>
      <c r="T5" s="169">
        <f t="shared" si="0"/>
        <v>28042.438461047437</v>
      </c>
      <c r="U5" s="169">
        <f t="shared" si="0"/>
        <v>28042.438461047437</v>
      </c>
      <c r="V5" s="169">
        <f t="shared" si="0"/>
        <v>28042.438461047437</v>
      </c>
      <c r="W5" s="169">
        <f t="shared" si="0"/>
        <v>28042.438461047437</v>
      </c>
      <c r="X5" s="169">
        <f t="shared" si="0"/>
        <v>28042.438461047437</v>
      </c>
      <c r="Y5" s="169">
        <f t="shared" si="0"/>
        <v>28042.438461047437</v>
      </c>
      <c r="AA5" s="170"/>
    </row>
    <row r="6" spans="1:27" ht="33" customHeight="1" x14ac:dyDescent="0.25">
      <c r="A6" s="108" t="s">
        <v>261</v>
      </c>
      <c r="B6" s="110">
        <f>B7+B8</f>
        <v>14666.551807320107</v>
      </c>
      <c r="C6" s="110">
        <f t="shared" ref="C6:Y6" si="1">C7+C8</f>
        <v>14666.551807320107</v>
      </c>
      <c r="D6" s="110">
        <f t="shared" si="1"/>
        <v>14666.551807320107</v>
      </c>
      <c r="E6" s="110">
        <f t="shared" si="1"/>
        <v>97881.251933714142</v>
      </c>
      <c r="F6" s="110">
        <f t="shared" si="1"/>
        <v>97881.251933714142</v>
      </c>
      <c r="G6" s="110">
        <f t="shared" si="1"/>
        <v>97881.251933714142</v>
      </c>
      <c r="H6" s="110">
        <f t="shared" si="1"/>
        <v>97881.251933714142</v>
      </c>
      <c r="I6" s="110">
        <f t="shared" si="1"/>
        <v>97881.251933714142</v>
      </c>
      <c r="J6" s="110">
        <f t="shared" si="1"/>
        <v>97881.251933714142</v>
      </c>
      <c r="K6" s="110">
        <f t="shared" si="1"/>
        <v>14666.551807320107</v>
      </c>
      <c r="L6" s="110">
        <f t="shared" si="1"/>
        <v>14666.551807320107</v>
      </c>
      <c r="M6" s="110">
        <f t="shared" si="1"/>
        <v>14666.551807320107</v>
      </c>
      <c r="N6" s="110">
        <f t="shared" si="1"/>
        <v>0</v>
      </c>
      <c r="O6" s="110">
        <f t="shared" si="1"/>
        <v>0</v>
      </c>
      <c r="P6" s="110">
        <f t="shared" si="1"/>
        <v>0</v>
      </c>
      <c r="Q6" s="110">
        <f t="shared" si="1"/>
        <v>0</v>
      </c>
      <c r="R6" s="110">
        <f t="shared" si="1"/>
        <v>0</v>
      </c>
      <c r="S6" s="110">
        <f t="shared" si="1"/>
        <v>0</v>
      </c>
      <c r="T6" s="110">
        <f t="shared" si="1"/>
        <v>0</v>
      </c>
      <c r="U6" s="110">
        <f t="shared" si="1"/>
        <v>0</v>
      </c>
      <c r="V6" s="110">
        <f t="shared" si="1"/>
        <v>0</v>
      </c>
      <c r="W6" s="110">
        <f t="shared" si="1"/>
        <v>0</v>
      </c>
      <c r="X6" s="110">
        <f t="shared" si="1"/>
        <v>0</v>
      </c>
      <c r="Y6" s="110">
        <f t="shared" si="1"/>
        <v>0</v>
      </c>
      <c r="AA6" s="170"/>
    </row>
    <row r="7" spans="1:27" ht="74.25" customHeight="1" x14ac:dyDescent="0.25">
      <c r="A7" s="171" t="s">
        <v>262</v>
      </c>
      <c r="B7" s="110">
        <f>9.38*144.67*'PROPOSTA PREÇO'!$E$13/12</f>
        <v>14666.551807320107</v>
      </c>
      <c r="C7" s="110">
        <f>9.38*144.67*'PROPOSTA PREÇO'!$E$13/12</f>
        <v>14666.551807320107</v>
      </c>
      <c r="D7" s="110">
        <f>9.38*144.67*'PROPOSTA PREÇO'!$E$13/12</f>
        <v>14666.551807320107</v>
      </c>
      <c r="E7" s="110">
        <f>9.38*144.67*'PROPOSTA PREÇO'!$E$13/12</f>
        <v>14666.551807320107</v>
      </c>
      <c r="F7" s="110">
        <f>9.38*144.67*'PROPOSTA PREÇO'!$E$13/12</f>
        <v>14666.551807320107</v>
      </c>
      <c r="G7" s="110">
        <f>9.38*144.67*'PROPOSTA PREÇO'!$E$13/12</f>
        <v>14666.551807320107</v>
      </c>
      <c r="H7" s="110">
        <f>9.38*144.67*'PROPOSTA PREÇO'!$E$13/12</f>
        <v>14666.551807320107</v>
      </c>
      <c r="I7" s="110">
        <f>9.38*144.67*'PROPOSTA PREÇO'!$E$13/12</f>
        <v>14666.551807320107</v>
      </c>
      <c r="J7" s="110">
        <f>9.38*144.67*'PROPOSTA PREÇO'!$E$13/12</f>
        <v>14666.551807320107</v>
      </c>
      <c r="K7" s="110">
        <f>9.38*144.67*'PROPOSTA PREÇO'!$E$13/12</f>
        <v>14666.551807320107</v>
      </c>
      <c r="L7" s="110">
        <f>9.38*144.67*'PROPOSTA PREÇO'!$E$13/12</f>
        <v>14666.551807320107</v>
      </c>
      <c r="M7" s="110">
        <f>9.38*144.67*'PROPOSTA PREÇO'!$E$13/12</f>
        <v>14666.551807320107</v>
      </c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AA7" s="170"/>
    </row>
    <row r="8" spans="1:27" ht="130.5" customHeight="1" x14ac:dyDescent="0.25">
      <c r="A8" s="171" t="s">
        <v>263</v>
      </c>
      <c r="B8" s="110"/>
      <c r="C8" s="110"/>
      <c r="D8" s="173"/>
      <c r="E8" s="110">
        <f>26.61*144.67*'PROPOSTA PREÇO'!$E$13/6</f>
        <v>83214.700126394033</v>
      </c>
      <c r="F8" s="110">
        <f>26.61*144.67*'PROPOSTA PREÇO'!$E$13/6</f>
        <v>83214.700126394033</v>
      </c>
      <c r="G8" s="110">
        <f>26.61*144.67*'PROPOSTA PREÇO'!$E$13/6</f>
        <v>83214.700126394033</v>
      </c>
      <c r="H8" s="110">
        <f>26.61*144.67*'PROPOSTA PREÇO'!$E$13/6</f>
        <v>83214.700126394033</v>
      </c>
      <c r="I8" s="110">
        <f>26.61*144.67*'PROPOSTA PREÇO'!$E$13/6</f>
        <v>83214.700126394033</v>
      </c>
      <c r="J8" s="110">
        <f>26.61*144.67*'PROPOSTA PREÇO'!$E$13/6</f>
        <v>83214.700126394033</v>
      </c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AA8" s="170"/>
    </row>
    <row r="9" spans="1:27" ht="33" customHeight="1" x14ac:dyDescent="0.25">
      <c r="A9" s="108" t="s">
        <v>264</v>
      </c>
      <c r="B9" s="110">
        <f>B10+B11</f>
        <v>0</v>
      </c>
      <c r="C9" s="110">
        <f t="shared" ref="C9:Y9" si="2">C10+C11</f>
        <v>0</v>
      </c>
      <c r="D9" s="110">
        <f t="shared" si="2"/>
        <v>0</v>
      </c>
      <c r="E9" s="110">
        <f t="shared" si="2"/>
        <v>53927.766271245062</v>
      </c>
      <c r="F9" s="110">
        <f t="shared" si="2"/>
        <v>53927.766271245062</v>
      </c>
      <c r="G9" s="110">
        <f t="shared" si="2"/>
        <v>53927.766271245062</v>
      </c>
      <c r="H9" s="110">
        <f t="shared" si="2"/>
        <v>81970.204732292506</v>
      </c>
      <c r="I9" s="110">
        <f t="shared" si="2"/>
        <v>81970.204732292506</v>
      </c>
      <c r="J9" s="110">
        <f t="shared" si="2"/>
        <v>81970.204732292506</v>
      </c>
      <c r="K9" s="110">
        <f t="shared" si="2"/>
        <v>81970.204732292506</v>
      </c>
      <c r="L9" s="110">
        <f t="shared" si="2"/>
        <v>81970.204732292506</v>
      </c>
      <c r="M9" s="110">
        <f t="shared" si="2"/>
        <v>81970.204732292506</v>
      </c>
      <c r="N9" s="110">
        <f t="shared" si="2"/>
        <v>81970.204732292506</v>
      </c>
      <c r="O9" s="110">
        <f t="shared" si="2"/>
        <v>81970.204732292506</v>
      </c>
      <c r="P9" s="110">
        <f t="shared" si="2"/>
        <v>81970.204732292506</v>
      </c>
      <c r="Q9" s="110">
        <f t="shared" si="2"/>
        <v>28042.438461047437</v>
      </c>
      <c r="R9" s="110">
        <f t="shared" si="2"/>
        <v>28042.438461047437</v>
      </c>
      <c r="S9" s="110">
        <f t="shared" si="2"/>
        <v>28042.438461047437</v>
      </c>
      <c r="T9" s="110">
        <f t="shared" si="2"/>
        <v>28042.438461047437</v>
      </c>
      <c r="U9" s="110">
        <f t="shared" si="2"/>
        <v>28042.438461047437</v>
      </c>
      <c r="V9" s="110">
        <f t="shared" si="2"/>
        <v>28042.438461047437</v>
      </c>
      <c r="W9" s="110">
        <f t="shared" si="2"/>
        <v>28042.438461047437</v>
      </c>
      <c r="X9" s="110">
        <f t="shared" si="2"/>
        <v>28042.438461047437</v>
      </c>
      <c r="Y9" s="110">
        <f t="shared" si="2"/>
        <v>28042.438461047437</v>
      </c>
      <c r="AA9" s="170"/>
    </row>
    <row r="10" spans="1:27" ht="74.25" customHeight="1" x14ac:dyDescent="0.25">
      <c r="A10" s="171" t="s">
        <v>265</v>
      </c>
      <c r="B10" s="110"/>
      <c r="C10" s="110"/>
      <c r="D10" s="173"/>
      <c r="E10" s="110">
        <f>28*178.2*'PROPOSTA PREÇO'!$E$13/12</f>
        <v>53927.766271245062</v>
      </c>
      <c r="F10" s="110">
        <f>28*178.2*'PROPOSTA PREÇO'!$E$13/12</f>
        <v>53927.766271245062</v>
      </c>
      <c r="G10" s="110">
        <f>28*178.2*'PROPOSTA PREÇO'!$E$13/12</f>
        <v>53927.766271245062</v>
      </c>
      <c r="H10" s="110">
        <f>28*178.2*'PROPOSTA PREÇO'!$E$13/12</f>
        <v>53927.766271245062</v>
      </c>
      <c r="I10" s="110">
        <f>28*178.2*'PROPOSTA PREÇO'!$E$13/12</f>
        <v>53927.766271245062</v>
      </c>
      <c r="J10" s="110">
        <f>28*178.2*'PROPOSTA PREÇO'!$E$13/12</f>
        <v>53927.766271245062</v>
      </c>
      <c r="K10" s="110">
        <f>28*178.2*'PROPOSTA PREÇO'!$E$13/12</f>
        <v>53927.766271245062</v>
      </c>
      <c r="L10" s="110">
        <f>28*178.2*'PROPOSTA PREÇO'!$E$13/12</f>
        <v>53927.766271245062</v>
      </c>
      <c r="M10" s="110">
        <f>28*178.2*'PROPOSTA PREÇO'!$E$13/12</f>
        <v>53927.766271245062</v>
      </c>
      <c r="N10" s="110">
        <f>28*178.2*'PROPOSTA PREÇO'!$E$13/12</f>
        <v>53927.766271245062</v>
      </c>
      <c r="O10" s="110">
        <f>28*178.2*'PROPOSTA PREÇO'!$E$13/12</f>
        <v>53927.766271245062</v>
      </c>
      <c r="P10" s="110">
        <f>28*178.2*'PROPOSTA PREÇO'!$E$13/12</f>
        <v>53927.766271245062</v>
      </c>
      <c r="Q10" s="172"/>
      <c r="R10" s="172"/>
      <c r="S10" s="172"/>
      <c r="T10" s="172"/>
      <c r="U10" s="172"/>
      <c r="V10" s="172"/>
      <c r="W10" s="172"/>
      <c r="X10" s="172"/>
      <c r="Y10" s="172"/>
      <c r="AA10" s="170"/>
    </row>
    <row r="11" spans="1:27" ht="75" customHeight="1" x14ac:dyDescent="0.25">
      <c r="A11" s="171" t="s">
        <v>266</v>
      </c>
      <c r="B11" s="110"/>
      <c r="C11" s="110"/>
      <c r="D11" s="173"/>
      <c r="E11" s="174"/>
      <c r="F11" s="172"/>
      <c r="G11" s="172"/>
      <c r="H11" s="110">
        <f>21.84*178.2*'PROPOSTA PREÇO'!$E$13/18</f>
        <v>28042.438461047437</v>
      </c>
      <c r="I11" s="110">
        <f>21.84*178.2*'PROPOSTA PREÇO'!$E$13/18</f>
        <v>28042.438461047437</v>
      </c>
      <c r="J11" s="110">
        <f>21.84*178.2*'PROPOSTA PREÇO'!$E$13/18</f>
        <v>28042.438461047437</v>
      </c>
      <c r="K11" s="110">
        <f>21.84*178.2*'PROPOSTA PREÇO'!$E$13/18</f>
        <v>28042.438461047437</v>
      </c>
      <c r="L11" s="110">
        <f>21.84*178.2*'PROPOSTA PREÇO'!$E$13/18</f>
        <v>28042.438461047437</v>
      </c>
      <c r="M11" s="110">
        <f>21.84*178.2*'PROPOSTA PREÇO'!$E$13/18</f>
        <v>28042.438461047437</v>
      </c>
      <c r="N11" s="110">
        <f>21.84*178.2*'PROPOSTA PREÇO'!$E$13/18</f>
        <v>28042.438461047437</v>
      </c>
      <c r="O11" s="110">
        <f>21.84*178.2*'PROPOSTA PREÇO'!$E$13/18</f>
        <v>28042.438461047437</v>
      </c>
      <c r="P11" s="110">
        <f>21.84*178.2*'PROPOSTA PREÇO'!$E$13/18</f>
        <v>28042.438461047437</v>
      </c>
      <c r="Q11" s="110">
        <f>21.84*178.2*'PROPOSTA PREÇO'!$E$13/18</f>
        <v>28042.438461047437</v>
      </c>
      <c r="R11" s="110">
        <f>21.84*178.2*'PROPOSTA PREÇO'!$E$13/18</f>
        <v>28042.438461047437</v>
      </c>
      <c r="S11" s="110">
        <f>21.84*178.2*'PROPOSTA PREÇO'!$E$13/18</f>
        <v>28042.438461047437</v>
      </c>
      <c r="T11" s="110">
        <f>21.84*178.2*'PROPOSTA PREÇO'!$E$13/18</f>
        <v>28042.438461047437</v>
      </c>
      <c r="U11" s="110">
        <f>21.84*178.2*'PROPOSTA PREÇO'!$E$13/18</f>
        <v>28042.438461047437</v>
      </c>
      <c r="V11" s="110">
        <f>21.84*178.2*'PROPOSTA PREÇO'!$E$13/18</f>
        <v>28042.438461047437</v>
      </c>
      <c r="W11" s="110">
        <f>21.84*178.2*'PROPOSTA PREÇO'!$E$13/18</f>
        <v>28042.438461047437</v>
      </c>
      <c r="X11" s="110">
        <f>21.84*178.2*'PROPOSTA PREÇO'!$E$13/18</f>
        <v>28042.438461047437</v>
      </c>
      <c r="Y11" s="110">
        <f>21.84*178.2*'PROPOSTA PREÇO'!$E$13/18</f>
        <v>28042.438461047437</v>
      </c>
      <c r="AA11" s="170"/>
    </row>
    <row r="12" spans="1:27" ht="26.25" customHeight="1" x14ac:dyDescent="0.25">
      <c r="A12" s="175" t="s">
        <v>267</v>
      </c>
      <c r="B12" s="176">
        <f>B4+B5</f>
        <v>53547.241807320112</v>
      </c>
      <c r="C12" s="176">
        <f t="shared" ref="C12:Y12" si="3">C4+C5</f>
        <v>53547.241807320112</v>
      </c>
      <c r="D12" s="176">
        <f t="shared" si="3"/>
        <v>53547.241807320112</v>
      </c>
      <c r="E12" s="176">
        <f t="shared" si="3"/>
        <v>190689.7082049592</v>
      </c>
      <c r="F12" s="176">
        <f t="shared" si="3"/>
        <v>190689.7082049592</v>
      </c>
      <c r="G12" s="176">
        <f t="shared" si="3"/>
        <v>190689.7082049592</v>
      </c>
      <c r="H12" s="176">
        <f t="shared" si="3"/>
        <v>218732.14666600665</v>
      </c>
      <c r="I12" s="176">
        <f t="shared" si="3"/>
        <v>218732.14666600665</v>
      </c>
      <c r="J12" s="176">
        <f t="shared" si="3"/>
        <v>218732.14666600665</v>
      </c>
      <c r="K12" s="176">
        <f t="shared" si="3"/>
        <v>135517.4465396126</v>
      </c>
      <c r="L12" s="176">
        <f t="shared" si="3"/>
        <v>135517.4465396126</v>
      </c>
      <c r="M12" s="176">
        <f t="shared" si="3"/>
        <v>135517.4465396126</v>
      </c>
      <c r="N12" s="176">
        <f t="shared" si="3"/>
        <v>120850.89473229251</v>
      </c>
      <c r="O12" s="176">
        <f t="shared" si="3"/>
        <v>120850.89473229251</v>
      </c>
      <c r="P12" s="176">
        <f t="shared" si="3"/>
        <v>120850.89473229251</v>
      </c>
      <c r="Q12" s="176">
        <f t="shared" si="3"/>
        <v>66923.128461047439</v>
      </c>
      <c r="R12" s="176">
        <f t="shared" si="3"/>
        <v>66923.128461047439</v>
      </c>
      <c r="S12" s="176">
        <f t="shared" si="3"/>
        <v>66923.128461047439</v>
      </c>
      <c r="T12" s="176">
        <f t="shared" si="3"/>
        <v>66923.128461047439</v>
      </c>
      <c r="U12" s="176">
        <f t="shared" si="3"/>
        <v>66923.128461047439</v>
      </c>
      <c r="V12" s="176">
        <f t="shared" si="3"/>
        <v>66923.128461047439</v>
      </c>
      <c r="W12" s="176">
        <f t="shared" si="3"/>
        <v>66923.128461047439</v>
      </c>
      <c r="X12" s="176">
        <f t="shared" si="3"/>
        <v>66923.128461047439</v>
      </c>
      <c r="Y12" s="176">
        <f t="shared" si="3"/>
        <v>66923.128461047439</v>
      </c>
    </row>
    <row r="13" spans="1:27" ht="26.25" customHeight="1" x14ac:dyDescent="0.25">
      <c r="A13" s="175" t="s">
        <v>268</v>
      </c>
      <c r="B13" s="176">
        <f>B12</f>
        <v>53547.241807320112</v>
      </c>
      <c r="C13" s="176">
        <f>C12+B13</f>
        <v>107094.48361464022</v>
      </c>
      <c r="D13" s="176">
        <f t="shared" ref="D13:Y13" si="4">D12+C13</f>
        <v>160641.72542196035</v>
      </c>
      <c r="E13" s="176">
        <f t="shared" si="4"/>
        <v>351331.43362691952</v>
      </c>
      <c r="F13" s="176">
        <f t="shared" si="4"/>
        <v>542021.14183187869</v>
      </c>
      <c r="G13" s="176">
        <f t="shared" si="4"/>
        <v>732710.85003683786</v>
      </c>
      <c r="H13" s="176">
        <f t="shared" si="4"/>
        <v>951442.99670284451</v>
      </c>
      <c r="I13" s="176">
        <f t="shared" si="4"/>
        <v>1170175.1433688512</v>
      </c>
      <c r="J13" s="176">
        <f t="shared" si="4"/>
        <v>1388907.2900348578</v>
      </c>
      <c r="K13" s="176">
        <f t="shared" si="4"/>
        <v>1524424.7365744705</v>
      </c>
      <c r="L13" s="176">
        <f t="shared" si="4"/>
        <v>1659942.183114083</v>
      </c>
      <c r="M13" s="176">
        <f t="shared" si="4"/>
        <v>1795459.6296536955</v>
      </c>
      <c r="N13" s="176">
        <f t="shared" si="4"/>
        <v>1916310.524385988</v>
      </c>
      <c r="O13" s="176">
        <f t="shared" si="4"/>
        <v>2037161.4191182805</v>
      </c>
      <c r="P13" s="176">
        <f t="shared" si="4"/>
        <v>2158012.3138505733</v>
      </c>
      <c r="Q13" s="176">
        <f t="shared" si="4"/>
        <v>2224935.4423116208</v>
      </c>
      <c r="R13" s="176">
        <f t="shared" si="4"/>
        <v>2291858.5707726683</v>
      </c>
      <c r="S13" s="176">
        <f t="shared" si="4"/>
        <v>2358781.6992337159</v>
      </c>
      <c r="T13" s="176">
        <f t="shared" si="4"/>
        <v>2425704.8276947634</v>
      </c>
      <c r="U13" s="176">
        <f t="shared" si="4"/>
        <v>2492627.956155811</v>
      </c>
      <c r="V13" s="176">
        <f t="shared" si="4"/>
        <v>2559551.0846168585</v>
      </c>
      <c r="W13" s="176">
        <f t="shared" si="4"/>
        <v>2626474.2130779061</v>
      </c>
      <c r="X13" s="176">
        <f t="shared" si="4"/>
        <v>2693397.3415389536</v>
      </c>
      <c r="Y13" s="176">
        <f t="shared" si="4"/>
        <v>2760320.4700000011</v>
      </c>
    </row>
  </sheetData>
  <sheetProtection password="CC51" sheet="1" objects="1" scenarios="1"/>
  <mergeCells count="4">
    <mergeCell ref="A1:Y1"/>
    <mergeCell ref="A2:A3"/>
    <mergeCell ref="B2:M2"/>
    <mergeCell ref="N2:Y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Salários e Custos</vt:lpstr>
      <vt:lpstr>Produto 1</vt:lpstr>
      <vt:lpstr>Produto 2 - Cálculo Esforço</vt:lpstr>
      <vt:lpstr>2.1 Orç Reab e Rest</vt:lpstr>
      <vt:lpstr>2.2 Orç Dup e Amp_Capacid</vt:lpstr>
      <vt:lpstr>2.3 Orç Implant e Paviment</vt:lpstr>
      <vt:lpstr>PROPOSTA PREÇO</vt:lpstr>
      <vt:lpstr>Cronograma Ano 1</vt:lpstr>
      <vt:lpstr>Cronograma Ano 2</vt:lpstr>
      <vt:lpstr>'2.1 Orç Reab e Rest'!Area_de_impressao</vt:lpstr>
      <vt:lpstr>'2.2 Orç Dup e Amp_Capacid'!Area_de_impressao</vt:lpstr>
      <vt:lpstr>'2.3 Orç Implant e Paviment'!Area_de_impressao</vt:lpstr>
      <vt:lpstr>'Produto 1'!Area_de_impressao</vt:lpstr>
      <vt:lpstr>'Salários e Custos'!Area_de_impressao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 Tavares Luiz Lobo</dc:creator>
  <cp:lastModifiedBy>Glauco Tavares Luiz Lobo</cp:lastModifiedBy>
  <cp:lastPrinted>2017-06-28T13:37:07Z</cp:lastPrinted>
  <dcterms:created xsi:type="dcterms:W3CDTF">2014-02-08T16:19:07Z</dcterms:created>
  <dcterms:modified xsi:type="dcterms:W3CDTF">2020-12-09T17:56:44Z</dcterms:modified>
</cp:coreProperties>
</file>