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tabRatio="708"/>
  </bookViews>
  <sheets>
    <sheet name="Planilha Resumo" sheetId="7" r:id="rId1"/>
    <sheet name="Planilha Sintética" sheetId="5" r:id="rId2"/>
    <sheet name="Cronograma Físico-Financeiro" sheetId="6" r:id="rId3"/>
    <sheet name="BDI" sheetId="9" r:id="rId4"/>
    <sheet name="Encargos Sociais" sheetId="10" r:id="rId5"/>
    <sheet name="CURVA ABC" sheetId="8" r:id="rId6"/>
    <sheet name="Quantidades" sheetId="3" state="hidden" r:id="rId7"/>
  </sheets>
  <definedNames>
    <definedName name="_xlnm._FilterDatabase" localSheetId="2" hidden="1">'Cronograma Físico-Financeiro'!$B$4:$W$47</definedName>
    <definedName name="_xlnm._FilterDatabase" localSheetId="5" hidden="1">'CURVA ABC'!$B$3:$F$40</definedName>
    <definedName name="_xlnm._FilterDatabase" localSheetId="0" hidden="1">'Planilha Resumo'!$B$3:$H$9</definedName>
    <definedName name="_xlnm._FilterDatabase" localSheetId="1" hidden="1">'Planilha Sintética'!$B$3:$H$45</definedName>
    <definedName name="_Order1" hidden="1">0</definedName>
    <definedName name="_Order2" hidden="1">255</definedName>
    <definedName name="_xlnm.Print_Area" localSheetId="2">'Cronograma Físico-Financeiro'!$B$1:$W$47</definedName>
    <definedName name="_xlnm.Print_Area" localSheetId="5">'CURVA ABC'!$B$1:$H$40</definedName>
    <definedName name="_xlnm.Print_Area" localSheetId="0">'Planilha Resumo'!$B$1:$H$9</definedName>
    <definedName name="_xlnm.Print_Area" localSheetId="1">'Planilha Sintética'!$B$1:$H$45</definedName>
  </definedNames>
  <calcPr calcId="162913"/>
</workbook>
</file>

<file path=xl/calcChain.xml><?xml version="1.0" encoding="utf-8"?>
<calcChain xmlns="http://schemas.openxmlformats.org/spreadsheetml/2006/main">
  <c r="C15" i="9" l="1"/>
  <c r="C8" i="8"/>
  <c r="C5" i="8"/>
  <c r="C16" i="8"/>
  <c r="C14" i="8"/>
  <c r="C10" i="8"/>
  <c r="C7" i="8"/>
  <c r="C6" i="8"/>
  <c r="C12" i="8"/>
  <c r="C13" i="8"/>
  <c r="C18" i="8"/>
  <c r="C22" i="8"/>
  <c r="C11" i="8"/>
  <c r="C23" i="8"/>
  <c r="C17" i="8"/>
  <c r="C26" i="8"/>
  <c r="C21" i="8"/>
  <c r="C24" i="8"/>
  <c r="C28" i="8"/>
  <c r="C19" i="8"/>
  <c r="C9" i="8"/>
  <c r="C20" i="8"/>
  <c r="C27" i="8"/>
  <c r="C25" i="8"/>
  <c r="C15" i="8"/>
  <c r="C30" i="8"/>
  <c r="C29" i="8"/>
  <c r="C31" i="8"/>
  <c r="C36" i="8"/>
  <c r="C37" i="8"/>
  <c r="C34" i="8"/>
  <c r="C35" i="8"/>
  <c r="C38" i="8"/>
  <c r="C39" i="8"/>
  <c r="C32" i="8"/>
  <c r="C33" i="8"/>
  <c r="C4" i="8"/>
  <c r="E4" i="8"/>
  <c r="F44" i="5" l="1"/>
  <c r="F43" i="5"/>
  <c r="F42" i="5"/>
  <c r="F40" i="5"/>
  <c r="F39" i="5"/>
  <c r="F38" i="5"/>
  <c r="F37" i="5"/>
  <c r="F36" i="5"/>
  <c r="F35" i="5"/>
  <c r="F34" i="5"/>
  <c r="F33" i="5"/>
  <c r="F32" i="5"/>
  <c r="F31" i="5"/>
  <c r="F41" i="5"/>
  <c r="F30" i="5"/>
  <c r="F29" i="5"/>
  <c r="F28" i="5"/>
  <c r="F27" i="5"/>
  <c r="F26" i="5"/>
  <c r="F24" i="5"/>
  <c r="F22" i="5"/>
  <c r="F21" i="5"/>
  <c r="F20" i="5"/>
  <c r="F19" i="5"/>
  <c r="F18" i="5"/>
  <c r="F17" i="5"/>
  <c r="F16" i="5"/>
  <c r="F15" i="5"/>
  <c r="F14" i="5"/>
  <c r="F13" i="5"/>
  <c r="F12" i="5"/>
  <c r="F10" i="5"/>
  <c r="F8" i="5"/>
  <c r="F7" i="5"/>
  <c r="F6" i="5"/>
  <c r="F5" i="5"/>
  <c r="E8" i="8"/>
  <c r="E5" i="8"/>
  <c r="E16" i="8"/>
  <c r="E14" i="8"/>
  <c r="E7" i="8"/>
  <c r="E6" i="8"/>
  <c r="E12" i="8"/>
  <c r="E13" i="8"/>
  <c r="E18" i="8"/>
  <c r="E22" i="8"/>
  <c r="E10" i="8"/>
  <c r="E11" i="8"/>
  <c r="E23" i="8"/>
  <c r="E17" i="8"/>
  <c r="E26" i="8"/>
  <c r="E21" i="8"/>
  <c r="E24" i="8"/>
  <c r="E28" i="8"/>
  <c r="E19" i="8"/>
  <c r="E9" i="8"/>
  <c r="E20" i="8"/>
  <c r="E27" i="8"/>
  <c r="E25" i="8"/>
  <c r="E15" i="8"/>
  <c r="E30" i="8"/>
  <c r="E29" i="8"/>
  <c r="E31" i="8"/>
  <c r="E35" i="8"/>
  <c r="E36" i="8"/>
  <c r="E37" i="8"/>
  <c r="E34" i="8"/>
  <c r="E32" i="8"/>
  <c r="E39" i="8"/>
  <c r="E38" i="8"/>
  <c r="E33" i="8"/>
  <c r="E40" i="8" l="1"/>
  <c r="F4" i="8" s="1"/>
  <c r="F9" i="8" l="1"/>
  <c r="F27" i="8"/>
  <c r="F21" i="8"/>
  <c r="F32" i="8"/>
  <c r="F31" i="8"/>
  <c r="F18" i="8"/>
  <c r="F10" i="8"/>
  <c r="F16" i="8"/>
  <c r="F23" i="8"/>
  <c r="F17" i="8"/>
  <c r="F25" i="8"/>
  <c r="F24" i="8"/>
  <c r="F8" i="8"/>
  <c r="F15" i="8"/>
  <c r="F6" i="8"/>
  <c r="F29" i="8"/>
  <c r="F34" i="8"/>
  <c r="F14" i="8"/>
  <c r="F33" i="8"/>
  <c r="F35" i="8"/>
  <c r="F22" i="8"/>
  <c r="F37" i="8"/>
  <c r="F7" i="8"/>
  <c r="F30" i="8"/>
  <c r="F13" i="8"/>
  <c r="G4" i="8"/>
  <c r="F11" i="8"/>
  <c r="F39" i="8"/>
  <c r="F38" i="8"/>
  <c r="F20" i="8"/>
  <c r="F19" i="8"/>
  <c r="F28" i="8"/>
  <c r="F36" i="8"/>
  <c r="F12" i="8"/>
  <c r="F5" i="8"/>
  <c r="F26" i="8"/>
  <c r="C45" i="6" l="1"/>
  <c r="C44" i="6"/>
  <c r="C43" i="6"/>
  <c r="C41" i="6"/>
  <c r="C40" i="6"/>
  <c r="C39" i="6"/>
  <c r="C38" i="6"/>
  <c r="C37" i="6"/>
  <c r="C36" i="6"/>
  <c r="C35" i="6"/>
  <c r="C34" i="6"/>
  <c r="C33" i="6"/>
  <c r="C32" i="6"/>
  <c r="C42" i="6"/>
  <c r="C31" i="6"/>
  <c r="C30" i="6"/>
  <c r="C29" i="6"/>
  <c r="C28" i="6"/>
  <c r="C27" i="6"/>
  <c r="C25" i="6"/>
  <c r="C23" i="6"/>
  <c r="C22" i="6"/>
  <c r="C21" i="6"/>
  <c r="C20" i="6"/>
  <c r="C19" i="6"/>
  <c r="C18" i="6"/>
  <c r="C17" i="6"/>
  <c r="C16" i="6"/>
  <c r="C15" i="6"/>
  <c r="C14" i="6"/>
  <c r="C13" i="6"/>
  <c r="C11" i="6"/>
  <c r="C9" i="6"/>
  <c r="C8" i="6"/>
  <c r="C7" i="6"/>
  <c r="C6" i="6"/>
  <c r="W45" i="6"/>
  <c r="W44" i="6"/>
  <c r="W43" i="6"/>
  <c r="W41" i="6"/>
  <c r="W40" i="6"/>
  <c r="W39" i="6"/>
  <c r="W38" i="6"/>
  <c r="W37" i="6"/>
  <c r="W36" i="6"/>
  <c r="W35" i="6"/>
  <c r="W34" i="6"/>
  <c r="W33" i="6"/>
  <c r="W32" i="6"/>
  <c r="W42" i="6"/>
  <c r="W31" i="6"/>
  <c r="W30" i="6"/>
  <c r="W29" i="6"/>
  <c r="W28" i="6"/>
  <c r="W27" i="6"/>
  <c r="W25" i="6"/>
  <c r="W23" i="6"/>
  <c r="W22" i="6"/>
  <c r="W21" i="6"/>
  <c r="W20" i="6"/>
  <c r="W19" i="6"/>
  <c r="W18" i="6"/>
  <c r="W17" i="6"/>
  <c r="W16" i="6"/>
  <c r="W15" i="6"/>
  <c r="W14" i="6"/>
  <c r="W13" i="6"/>
  <c r="W11" i="6"/>
  <c r="W9" i="6"/>
  <c r="W8" i="6"/>
  <c r="W7" i="6"/>
  <c r="W6" i="6"/>
  <c r="D42" i="6" l="1"/>
  <c r="Q42" i="6" l="1"/>
  <c r="K42" i="6"/>
  <c r="G42" i="6"/>
  <c r="O42" i="6"/>
  <c r="M42" i="6"/>
  <c r="I42" i="6"/>
  <c r="U42" i="6"/>
  <c r="S42" i="6"/>
  <c r="D31" i="6"/>
  <c r="Q31" i="6" l="1"/>
  <c r="K31" i="6"/>
  <c r="I31" i="6"/>
  <c r="U31" i="6"/>
  <c r="G31" i="6"/>
  <c r="M31" i="6"/>
  <c r="O31" i="6"/>
  <c r="S31" i="6"/>
  <c r="D25" i="6"/>
  <c r="D45" i="6"/>
  <c r="D44" i="6"/>
  <c r="D43" i="6"/>
  <c r="D41" i="6"/>
  <c r="D40" i="6"/>
  <c r="D39" i="6"/>
  <c r="D38" i="6"/>
  <c r="D37" i="6"/>
  <c r="D36" i="6"/>
  <c r="D35" i="6"/>
  <c r="D34" i="6"/>
  <c r="D33" i="6"/>
  <c r="D32" i="6"/>
  <c r="D30" i="6"/>
  <c r="D29" i="6"/>
  <c r="D28" i="6"/>
  <c r="D15" i="6"/>
  <c r="D16" i="6"/>
  <c r="D17" i="6"/>
  <c r="D18" i="6"/>
  <c r="D19" i="6"/>
  <c r="D20" i="6"/>
  <c r="D21" i="6"/>
  <c r="D22" i="6"/>
  <c r="D23" i="6"/>
  <c r="D13" i="6"/>
  <c r="D7" i="6"/>
  <c r="D8" i="6"/>
  <c r="D9" i="6"/>
  <c r="Q43" i="6" l="1"/>
  <c r="M43" i="6"/>
  <c r="I43" i="6"/>
  <c r="S43" i="6"/>
  <c r="U43" i="6"/>
  <c r="O43" i="6"/>
  <c r="K43" i="6"/>
  <c r="G43" i="6"/>
  <c r="Q32" i="6"/>
  <c r="S32" i="6"/>
  <c r="M32" i="6"/>
  <c r="K32" i="6"/>
  <c r="O32" i="6"/>
  <c r="G32" i="6"/>
  <c r="I32" i="6"/>
  <c r="U32" i="6"/>
  <c r="I21" i="6"/>
  <c r="K21" i="6"/>
  <c r="O21" i="6"/>
  <c r="U21" i="6"/>
  <c r="S21" i="6"/>
  <c r="G21" i="6"/>
  <c r="Q21" i="6"/>
  <c r="M21" i="6"/>
  <c r="Q34" i="6"/>
  <c r="G34" i="6"/>
  <c r="S34" i="6"/>
  <c r="M34" i="6"/>
  <c r="K34" i="6"/>
  <c r="O34" i="6"/>
  <c r="I34" i="6"/>
  <c r="U34" i="6"/>
  <c r="Q44" i="6"/>
  <c r="K44" i="6"/>
  <c r="O44" i="6"/>
  <c r="G44" i="6"/>
  <c r="I44" i="6"/>
  <c r="S44" i="6"/>
  <c r="U44" i="6"/>
  <c r="M44" i="6"/>
  <c r="U25" i="6"/>
  <c r="G25" i="6"/>
  <c r="S25" i="6"/>
  <c r="I25" i="6"/>
  <c r="O25" i="6"/>
  <c r="K25" i="6"/>
  <c r="D24" i="6"/>
  <c r="Q25" i="6"/>
  <c r="M25" i="6"/>
  <c r="K20" i="6"/>
  <c r="U20" i="6"/>
  <c r="S20" i="6"/>
  <c r="O20" i="6"/>
  <c r="G20" i="6"/>
  <c r="I20" i="6"/>
  <c r="M20" i="6"/>
  <c r="Q20" i="6"/>
  <c r="Q35" i="6"/>
  <c r="G35" i="6"/>
  <c r="O35" i="6"/>
  <c r="S35" i="6"/>
  <c r="K35" i="6"/>
  <c r="M35" i="6"/>
  <c r="I35" i="6"/>
  <c r="U35" i="6"/>
  <c r="Q33" i="6"/>
  <c r="S33" i="6"/>
  <c r="M33" i="6"/>
  <c r="K33" i="6"/>
  <c r="I33" i="6"/>
  <c r="U33" i="6"/>
  <c r="O33" i="6"/>
  <c r="G33" i="6"/>
  <c r="U19" i="6"/>
  <c r="S19" i="6"/>
  <c r="G19" i="6"/>
  <c r="K19" i="6"/>
  <c r="Q19" i="6"/>
  <c r="I19" i="6"/>
  <c r="O19" i="6"/>
  <c r="M19" i="6"/>
  <c r="Q36" i="6"/>
  <c r="O36" i="6"/>
  <c r="G36" i="6"/>
  <c r="I36" i="6"/>
  <c r="S36" i="6"/>
  <c r="M36" i="6"/>
  <c r="K36" i="6"/>
  <c r="U36" i="6"/>
  <c r="G7" i="6"/>
  <c r="M7" i="6"/>
  <c r="S7" i="6"/>
  <c r="K7" i="6"/>
  <c r="O7" i="6"/>
  <c r="U7" i="6"/>
  <c r="I7" i="6"/>
  <c r="Q7" i="6"/>
  <c r="Q30" i="6"/>
  <c r="G30" i="6"/>
  <c r="I30" i="6"/>
  <c r="U30" i="6"/>
  <c r="O30" i="6"/>
  <c r="S30" i="6"/>
  <c r="K30" i="6"/>
  <c r="M30" i="6"/>
  <c r="Q45" i="6"/>
  <c r="M45" i="6"/>
  <c r="K45" i="6"/>
  <c r="S45" i="6"/>
  <c r="G45" i="6"/>
  <c r="I45" i="6"/>
  <c r="O45" i="6"/>
  <c r="U45" i="6"/>
  <c r="Q37" i="6"/>
  <c r="U37" i="6"/>
  <c r="O37" i="6"/>
  <c r="G37" i="6"/>
  <c r="I37" i="6"/>
  <c r="S37" i="6"/>
  <c r="M37" i="6"/>
  <c r="K37" i="6"/>
  <c r="U17" i="6"/>
  <c r="S17" i="6"/>
  <c r="I17" i="6"/>
  <c r="G17" i="6"/>
  <c r="O17" i="6"/>
  <c r="Q17" i="6"/>
  <c r="K17" i="6"/>
  <c r="M17" i="6"/>
  <c r="Q38" i="6"/>
  <c r="I38" i="6"/>
  <c r="U38" i="6"/>
  <c r="O38" i="6"/>
  <c r="G38" i="6"/>
  <c r="M38" i="6"/>
  <c r="S38" i="6"/>
  <c r="K38" i="6"/>
  <c r="K13" i="6"/>
  <c r="I13" i="6"/>
  <c r="Q13" i="6"/>
  <c r="M13" i="6"/>
  <c r="U13" i="6"/>
  <c r="G13" i="6"/>
  <c r="O13" i="6"/>
  <c r="S13" i="6"/>
  <c r="U22" i="6"/>
  <c r="M22" i="6"/>
  <c r="K22" i="6"/>
  <c r="O22" i="6"/>
  <c r="I22" i="6"/>
  <c r="S22" i="6"/>
  <c r="G22" i="6"/>
  <c r="Q22" i="6"/>
  <c r="I18" i="6"/>
  <c r="S18" i="6"/>
  <c r="G18" i="6"/>
  <c r="Q18" i="6"/>
  <c r="O18" i="6"/>
  <c r="U18" i="6"/>
  <c r="K18" i="6"/>
  <c r="M18" i="6"/>
  <c r="K16" i="6"/>
  <c r="Q16" i="6"/>
  <c r="U16" i="6"/>
  <c r="S16" i="6"/>
  <c r="M16" i="6"/>
  <c r="O16" i="6"/>
  <c r="I16" i="6"/>
  <c r="G16" i="6"/>
  <c r="Q39" i="6"/>
  <c r="I39" i="6"/>
  <c r="U39" i="6"/>
  <c r="O39" i="6"/>
  <c r="G39" i="6"/>
  <c r="S39" i="6"/>
  <c r="M39" i="6"/>
  <c r="K39" i="6"/>
  <c r="Q29" i="6"/>
  <c r="I29" i="6"/>
  <c r="O29" i="6"/>
  <c r="K29" i="6"/>
  <c r="U29" i="6"/>
  <c r="M29" i="6"/>
  <c r="G29" i="6"/>
  <c r="S29" i="6"/>
  <c r="K23" i="6"/>
  <c r="M23" i="6"/>
  <c r="O23" i="6"/>
  <c r="S23" i="6"/>
  <c r="G23" i="6"/>
  <c r="I23" i="6"/>
  <c r="U23" i="6"/>
  <c r="Q23" i="6"/>
  <c r="Q9" i="6"/>
  <c r="M9" i="6"/>
  <c r="U9" i="6"/>
  <c r="I9" i="6"/>
  <c r="K9" i="6"/>
  <c r="S9" i="6"/>
  <c r="G9" i="6"/>
  <c r="O9" i="6"/>
  <c r="U15" i="6"/>
  <c r="Q15" i="6"/>
  <c r="M15" i="6"/>
  <c r="S15" i="6"/>
  <c r="K15" i="6"/>
  <c r="O15" i="6"/>
  <c r="G15" i="6"/>
  <c r="I15" i="6"/>
  <c r="Q40" i="6"/>
  <c r="I40" i="6"/>
  <c r="M40" i="6"/>
  <c r="U40" i="6"/>
  <c r="O40" i="6"/>
  <c r="G40" i="6"/>
  <c r="K40" i="6"/>
  <c r="S40" i="6"/>
  <c r="Q8" i="6"/>
  <c r="S8" i="6"/>
  <c r="O8" i="6"/>
  <c r="M8" i="6"/>
  <c r="G8" i="6"/>
  <c r="U8" i="6"/>
  <c r="K8" i="6"/>
  <c r="I8" i="6"/>
  <c r="Q28" i="6"/>
  <c r="I28" i="6"/>
  <c r="U28" i="6"/>
  <c r="O28" i="6"/>
  <c r="G28" i="6"/>
  <c r="S28" i="6"/>
  <c r="K28" i="6"/>
  <c r="M28" i="6"/>
  <c r="Q41" i="6"/>
  <c r="S41" i="6"/>
  <c r="M41" i="6"/>
  <c r="I41" i="6"/>
  <c r="U41" i="6"/>
  <c r="O41" i="6"/>
  <c r="G41" i="6"/>
  <c r="K41" i="6"/>
  <c r="G7" i="7"/>
  <c r="G6" i="7" l="1"/>
  <c r="D14" i="6"/>
  <c r="U14" i="6" l="1"/>
  <c r="Q14" i="6"/>
  <c r="S14" i="6"/>
  <c r="G14" i="6"/>
  <c r="M14" i="6"/>
  <c r="O14" i="6"/>
  <c r="K14" i="6"/>
  <c r="I14" i="6"/>
  <c r="D12" i="6"/>
  <c r="G8" i="7"/>
  <c r="D27" i="6"/>
  <c r="Q27" i="6" l="1"/>
  <c r="D26" i="6"/>
  <c r="I27" i="6"/>
  <c r="U27" i="6"/>
  <c r="O27" i="6"/>
  <c r="M27" i="6"/>
  <c r="K27" i="6"/>
  <c r="G27" i="6"/>
  <c r="S27" i="6"/>
  <c r="G5" i="7"/>
  <c r="D11" i="6"/>
  <c r="C41" i="3"/>
  <c r="C37" i="3" s="1"/>
  <c r="C33" i="3" s="1"/>
  <c r="C29" i="3" s="1"/>
  <c r="C25" i="3" s="1"/>
  <c r="C21" i="3" s="1"/>
  <c r="C17" i="3" s="1"/>
  <c r="C13" i="3" s="1"/>
  <c r="C9" i="3"/>
  <c r="C5" i="3"/>
  <c r="U11" i="6" l="1"/>
  <c r="G11" i="6"/>
  <c r="Q11" i="6"/>
  <c r="M11" i="6"/>
  <c r="S11" i="6"/>
  <c r="I11" i="6"/>
  <c r="K11" i="6"/>
  <c r="O11" i="6"/>
  <c r="D10" i="6"/>
  <c r="C45" i="3"/>
  <c r="G4" i="7" l="1"/>
  <c r="G9" i="7" s="1"/>
  <c r="D6" i="6"/>
  <c r="H4" i="5" l="1"/>
  <c r="S6" i="6"/>
  <c r="S46" i="6" s="1"/>
  <c r="K6" i="6"/>
  <c r="K46" i="6" s="1"/>
  <c r="M6" i="6"/>
  <c r="M46" i="6" s="1"/>
  <c r="O6" i="6"/>
  <c r="O46" i="6" s="1"/>
  <c r="U6" i="6"/>
  <c r="U46" i="6" s="1"/>
  <c r="I6" i="6"/>
  <c r="I46" i="6" s="1"/>
  <c r="Q6" i="6"/>
  <c r="Q46" i="6" s="1"/>
  <c r="G6" i="6"/>
  <c r="G46" i="6" s="1"/>
  <c r="D5" i="6"/>
  <c r="H16" i="5" l="1"/>
  <c r="H20" i="5"/>
  <c r="H40" i="5"/>
  <c r="H11" i="5"/>
  <c r="H44" i="5"/>
  <c r="H29" i="5"/>
  <c r="H35" i="5"/>
  <c r="H9" i="5"/>
  <c r="H21" i="5"/>
  <c r="H26" i="5"/>
  <c r="H25" i="5"/>
  <c r="H30" i="5"/>
  <c r="H14" i="5"/>
  <c r="H41" i="5"/>
  <c r="H22" i="5"/>
  <c r="H38" i="5"/>
  <c r="H7" i="5"/>
  <c r="H27" i="5"/>
  <c r="H31" i="5"/>
  <c r="H15" i="5"/>
  <c r="H39" i="5"/>
  <c r="H19" i="5"/>
  <c r="H43" i="5"/>
  <c r="H13" i="5"/>
  <c r="H12" i="5"/>
  <c r="H17" i="5"/>
  <c r="H33" i="5"/>
  <c r="H8" i="5"/>
  <c r="H36" i="5"/>
  <c r="H18" i="5"/>
  <c r="H34" i="5"/>
  <c r="H28" i="5"/>
  <c r="H10" i="5"/>
  <c r="H6" i="5"/>
  <c r="H23" i="5"/>
  <c r="H37" i="5"/>
  <c r="H42" i="5"/>
  <c r="H5" i="5"/>
  <c r="H24" i="5"/>
  <c r="H32" i="5"/>
  <c r="D46" i="6"/>
  <c r="T46" i="6" s="1"/>
  <c r="V46" i="6"/>
  <c r="G47" i="6"/>
  <c r="H46" i="6"/>
  <c r="P46" i="6"/>
  <c r="N46" i="6"/>
  <c r="R46" i="6" l="1"/>
  <c r="E5" i="6"/>
  <c r="L46" i="6"/>
  <c r="J46" i="6"/>
  <c r="H47" i="6"/>
  <c r="I47" i="6"/>
  <c r="E12" i="6"/>
  <c r="E42" i="6"/>
  <c r="E31" i="6"/>
  <c r="E35" i="6"/>
  <c r="E7" i="6"/>
  <c r="E17" i="6"/>
  <c r="E18" i="6"/>
  <c r="E23" i="6"/>
  <c r="E8" i="6"/>
  <c r="E21" i="6"/>
  <c r="E28" i="6"/>
  <c r="E20" i="6"/>
  <c r="E36" i="6"/>
  <c r="E37" i="6"/>
  <c r="E40" i="6"/>
  <c r="E34" i="6"/>
  <c r="E22" i="6"/>
  <c r="E29" i="6"/>
  <c r="E41" i="6"/>
  <c r="E9" i="6"/>
  <c r="E32" i="6"/>
  <c r="E44" i="6"/>
  <c r="E25" i="6"/>
  <c r="E19" i="6"/>
  <c r="E45" i="6"/>
  <c r="E43" i="6"/>
  <c r="E16" i="6"/>
  <c r="E13" i="6"/>
  <c r="E39" i="6"/>
  <c r="E15" i="6"/>
  <c r="E33" i="6"/>
  <c r="E30" i="6"/>
  <c r="E38" i="6"/>
  <c r="E24" i="6"/>
  <c r="E14" i="6"/>
  <c r="E27" i="6"/>
  <c r="E11" i="6"/>
  <c r="E26" i="6"/>
  <c r="E10" i="6"/>
  <c r="E6" i="6"/>
  <c r="J47" i="6" l="1"/>
  <c r="K47" i="6"/>
  <c r="L47" i="6" l="1"/>
  <c r="M47" i="6"/>
  <c r="N47" i="6" l="1"/>
  <c r="O47" i="6"/>
  <c r="P47" i="6" l="1"/>
  <c r="Q47" i="6"/>
  <c r="R47" i="6" l="1"/>
  <c r="S47" i="6"/>
  <c r="T47" i="6" l="1"/>
  <c r="U47" i="6"/>
  <c r="V47" i="6" s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</calcChain>
</file>

<file path=xl/sharedStrings.xml><?xml version="1.0" encoding="utf-8"?>
<sst xmlns="http://schemas.openxmlformats.org/spreadsheetml/2006/main" count="467" uniqueCount="231">
  <si>
    <t>1.1</t>
  </si>
  <si>
    <t>2.1</t>
  </si>
  <si>
    <t>Trecho</t>
  </si>
  <si>
    <t>Área (m²)</t>
  </si>
  <si>
    <t>Cortina 01</t>
  </si>
  <si>
    <t>Trincheira Dr. Claudino - Norte</t>
  </si>
  <si>
    <t>Cortina 02</t>
  </si>
  <si>
    <t>Trincheira Joaquim Nabuco - Norte</t>
  </si>
  <si>
    <t>Cortina 03</t>
  </si>
  <si>
    <t>Cortina 04</t>
  </si>
  <si>
    <t>Trincheira Dr. Claudino - Sul</t>
  </si>
  <si>
    <t>Cortina 05</t>
  </si>
  <si>
    <t>Trincheira Joaquim Nabuco - Sul</t>
  </si>
  <si>
    <t>Cortina 06</t>
  </si>
  <si>
    <t>Viga coroamento</t>
  </si>
  <si>
    <t>Guarda corpo</t>
  </si>
  <si>
    <t>Cortina</t>
  </si>
  <si>
    <t>TOTAL</t>
  </si>
  <si>
    <t>PROJETO DE RECUPERAÇÃO/REFORÇO ESTRUTURAL</t>
  </si>
  <si>
    <t>*O trecho em que foi realizado reforço estrutural e onde o solo da lateral está cedendo é o da Cortina 05</t>
  </si>
  <si>
    <t>ITEM</t>
  </si>
  <si>
    <t>PREÇO UNITÁRIO</t>
  </si>
  <si>
    <t>PREÇO TOTAL</t>
  </si>
  <si>
    <t>3.1</t>
  </si>
  <si>
    <t>3.2</t>
  </si>
  <si>
    <t>4.1</t>
  </si>
  <si>
    <t>5.1</t>
  </si>
  <si>
    <t>ESTUDOS GEOTÉCNICOS</t>
  </si>
  <si>
    <t>1.2</t>
  </si>
  <si>
    <t>1.3</t>
  </si>
  <si>
    <t>1.4</t>
  </si>
  <si>
    <t>Ensaio de granulometria por sedimentação</t>
  </si>
  <si>
    <t>Diagnóstico</t>
  </si>
  <si>
    <t>Viabilidade Técnica do Empreendimento</t>
  </si>
  <si>
    <t>Soluções de Engenharia</t>
  </si>
  <si>
    <t>Levantamento topográfico planialtimétrico</t>
  </si>
  <si>
    <t>Sondagem a percussão (SPT)</t>
  </si>
  <si>
    <t>Sondagem a trado (ST)</t>
  </si>
  <si>
    <t>3.3</t>
  </si>
  <si>
    <t>Ensaio de umidade "in situ"</t>
  </si>
  <si>
    <t>3.4</t>
  </si>
  <si>
    <t>Ensaio de massa específica "in situ"</t>
  </si>
  <si>
    <t>3.5</t>
  </si>
  <si>
    <t>3.6</t>
  </si>
  <si>
    <t>Ensaio de granulometria por peneiramento</t>
  </si>
  <si>
    <t>3.7</t>
  </si>
  <si>
    <t>Ensaio de massa específica dos grãos</t>
  </si>
  <si>
    <t>3.8</t>
  </si>
  <si>
    <t>Ensaio de limite de liquidez (LL)</t>
  </si>
  <si>
    <t>3.9</t>
  </si>
  <si>
    <t>Ensaio de limite de plasticidade (LP)</t>
  </si>
  <si>
    <t>3.10</t>
  </si>
  <si>
    <t>Ensaio de compactação, índice suporte Califórnia (ISC) e expansão na energia normal</t>
  </si>
  <si>
    <t>3.11</t>
  </si>
  <si>
    <t>Ensaio de compressão triaxial</t>
  </si>
  <si>
    <t>Anteprojeto arquitetônico</t>
  </si>
  <si>
    <t>5.2</t>
  </si>
  <si>
    <t>Anteprojeto de terraplenagem</t>
  </si>
  <si>
    <t>5.3</t>
  </si>
  <si>
    <t>Anteprojeto de infraesturutra</t>
  </si>
  <si>
    <t>5.4</t>
  </si>
  <si>
    <t>5.5</t>
  </si>
  <si>
    <t>Anteprojeto de pavimentação</t>
  </si>
  <si>
    <t>5.6</t>
  </si>
  <si>
    <t>Anteprojeto de drenagem e contenção de cheias</t>
  </si>
  <si>
    <t>5.7</t>
  </si>
  <si>
    <t>Anteprojeto de instalações elétricas</t>
  </si>
  <si>
    <t>5.8</t>
  </si>
  <si>
    <t>Anteprojeto de instalações hidrossanitárias</t>
  </si>
  <si>
    <t>5.9</t>
  </si>
  <si>
    <t>5.10</t>
  </si>
  <si>
    <t>5.11</t>
  </si>
  <si>
    <t>Anteprojeto de climatização</t>
  </si>
  <si>
    <t>5.12</t>
  </si>
  <si>
    <t>Anteprojeto de prevenção e combate a incêndio</t>
  </si>
  <si>
    <t>5.13</t>
  </si>
  <si>
    <t>Anteprojeto fotovoltaico</t>
  </si>
  <si>
    <t>5.14</t>
  </si>
  <si>
    <t>Plano de Demolição</t>
  </si>
  <si>
    <t>5.15</t>
  </si>
  <si>
    <t>Anteprojeto do sistema viário</t>
  </si>
  <si>
    <t>5.16</t>
  </si>
  <si>
    <t>Orçamento</t>
  </si>
  <si>
    <t>5.17</t>
  </si>
  <si>
    <t>Plano de Implantação</t>
  </si>
  <si>
    <t>Estudos hidrológicos</t>
  </si>
  <si>
    <t>ESTUDOS PRELIMINARES</t>
  </si>
  <si>
    <t>ESTUDOS TOPOGRÁFICOS</t>
  </si>
  <si>
    <t>ESTUDOS HIDROLÓGICOS</t>
  </si>
  <si>
    <t>ANTEPROJETOS</t>
  </si>
  <si>
    <r>
      <t xml:space="preserve">GOVERNO DO ESTADO DO PARANÁ
AGÊNCIA DE ASSUNTOS METROPOLITANMOS DO PARANÁ
</t>
    </r>
    <r>
      <rPr>
        <b/>
        <sz val="10"/>
        <color theme="1"/>
        <rFont val="Arial"/>
        <family val="2"/>
      </rPr>
      <t>ELABORAÇÃO DE ESTUDOS PRELIMINARES E ANTEPROJETO, PARA CONSTRUÇÃO DO TERMINAL METROPOLITANO DE LONDRINA</t>
    </r>
    <r>
      <rPr>
        <sz val="10"/>
        <color theme="1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PLANILHA ORÇAMENTÁRIA SINTÉTICA</t>
    </r>
  </si>
  <si>
    <t>UN</t>
  </si>
  <si>
    <t>UNI.</t>
  </si>
  <si>
    <t>DESCRIÇÃO DO SERVIÇO</t>
  </si>
  <si>
    <t>QUANT.</t>
  </si>
  <si>
    <t>Concepção Arquitetônica</t>
  </si>
  <si>
    <t>Anteprojeto de supraestrutura</t>
  </si>
  <si>
    <t>Anteprojeto de cobertura</t>
  </si>
  <si>
    <t>5.18</t>
  </si>
  <si>
    <t>Anteprojeto de obra-de-arte especial</t>
  </si>
  <si>
    <t>5.19</t>
  </si>
  <si>
    <t>M²</t>
  </si>
  <si>
    <t>M</t>
  </si>
  <si>
    <t>%</t>
  </si>
  <si>
    <t>Anteprojeto de sinalização</t>
  </si>
  <si>
    <t>Anteprojeto de comunicação visual</t>
  </si>
  <si>
    <t xml:space="preserve">GOVERNO DO ESTADO DO PARANÁ
AGÊNCIA DE ASSUNTOS METROPOLITANMOS DO PARANÁ
ELABORAÇÃO DE ESTUDOS PRELIMINARES E ANTEPROJETO, PARA CONSTRUÇÃO DO TERMINAL METROPOLITANO DE LONDRINA
</t>
  </si>
  <si>
    <t>CRONOGRAMA FÍSICO-FINANCEIRO</t>
  </si>
  <si>
    <t>DESCRIÇÃO</t>
  </si>
  <si>
    <t>% Valor Total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</si>
  <si>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</si>
  <si>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</si>
  <si>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</si>
  <si>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</si>
  <si>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</si>
  <si>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</si>
  <si>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</si>
  <si>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</si>
  <si>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ANÁLISE DE ESTABILIDADE DA ESTRUTURA</t>
  </si>
  <si>
    <t>LAUDOS E RELATÓRIOS</t>
  </si>
  <si>
    <t>PROJETOS</t>
  </si>
  <si>
    <t>PLANO DE EXECUÇÃO</t>
  </si>
  <si>
    <t>TOTAL NO MÊS</t>
  </si>
  <si>
    <t>TOTAL ACUMULADO</t>
  </si>
  <si>
    <r>
      <t xml:space="preserve">GOVERNO DO ESTADO DO PARANÁ
AGÊNCIA DE ASSUNTOS METROPOLITANMOS DO PARANÁ
</t>
    </r>
    <r>
      <rPr>
        <b/>
        <sz val="10"/>
        <color theme="1"/>
        <rFont val="Arial"/>
        <family val="2"/>
      </rPr>
      <t>ELABORAÇÃO DE ESTUDOS PRELIMINARES E ANTEPROJETO, PARA CONSTRUÇÃO DO TERMINAL METROPOLITANO DE LONDRINA</t>
    </r>
    <r>
      <rPr>
        <sz val="10"/>
        <color theme="1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PLANILHA RESUMO</t>
    </r>
  </si>
  <si>
    <t>% ACUMULADO</t>
  </si>
  <si>
    <t>A</t>
  </si>
  <si>
    <t>CLASSIFICAÇÃO</t>
  </si>
  <si>
    <t>B</t>
  </si>
  <si>
    <t>C</t>
  </si>
  <si>
    <r>
      <t xml:space="preserve">GOVERNO DO ESTADO DO PARANÁ
AGÊNCIA DE ASSUNTOS METROPOLITANMOS DO PARANÁ
</t>
    </r>
    <r>
      <rPr>
        <b/>
        <sz val="10"/>
        <color theme="1"/>
        <rFont val="Arial"/>
        <family val="2"/>
      </rPr>
      <t>ELABORAÇÃO DE ESTUDOS PRELIMINARES E ANTEPROJETO, PARA CONSTRUÇÃO DO TERMINAL METROPOLITANO DE LONDRINA</t>
    </r>
    <r>
      <rPr>
        <sz val="10"/>
        <color theme="1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CURVA ABC</t>
    </r>
  </si>
  <si>
    <t>TAXA (%)</t>
  </si>
  <si>
    <t>1º Quartil</t>
  </si>
  <si>
    <t>2º Quartil</t>
  </si>
  <si>
    <t>3º Quartil</t>
  </si>
  <si>
    <t>AC - ADMINISTRAÇÃO CENTRAL</t>
  </si>
  <si>
    <t>SG - SEGUROS + GARANTIA</t>
  </si>
  <si>
    <t>R - RISCOS</t>
  </si>
  <si>
    <t>DF - DESPESAS FINANCEIRAS</t>
  </si>
  <si>
    <t>L - LUCRO BRUTO</t>
  </si>
  <si>
    <t>I - IMPOSTOS</t>
  </si>
  <si>
    <t>Equação Acordão TCU 2.622/2013 - Plenário</t>
  </si>
  <si>
    <t>6.1</t>
  </si>
  <si>
    <t>PIS</t>
  </si>
  <si>
    <t>6.2</t>
  </si>
  <si>
    <t>COFINS</t>
  </si>
  <si>
    <t>6.3</t>
  </si>
  <si>
    <t>ISS (CONFORME LEGISLAÇÃO MUNICIPAL)</t>
  </si>
  <si>
    <t>6.4</t>
  </si>
  <si>
    <t>CONTRIB.PREV. SOBRE REC. BRUTA - CPRB</t>
  </si>
  <si>
    <t>BDI (%)</t>
  </si>
  <si>
    <t>Parâmetros da fórmula utilizada:</t>
  </si>
  <si>
    <t>AC: taxa de administração central;</t>
  </si>
  <si>
    <t>S: taxa de seguros;</t>
  </si>
  <si>
    <t>G: taxa de garantias;</t>
  </si>
  <si>
    <t>R: taxa de riscos;</t>
  </si>
  <si>
    <t>DF: taxa de despesas financeiras;</t>
  </si>
  <si>
    <t>L: taxa de lucro/remuneração;</t>
  </si>
  <si>
    <t>I: taxa de incidência de impostos (PIS, COFINS, ISS, CPRB).</t>
  </si>
  <si>
    <r>
      <t xml:space="preserve">GOVERNO DO ESTADO DO PARANÁ
AGÊNCIA DE ASSUNTOS METROPOLITANMOS DO PARANÁ
</t>
    </r>
    <r>
      <rPr>
        <b/>
        <sz val="10"/>
        <color theme="1"/>
        <rFont val="Arial"/>
        <family val="2"/>
      </rPr>
      <t>ELABORAÇÃO DE ESTUDOS PRELIMINARES E ANTEPROJETO, PARA CONSTRUÇÃO DO TERMINAL METROPOLITANO DE LONDRINA</t>
    </r>
    <r>
      <rPr>
        <sz val="10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>COMPOSIÇÃO DA TAXA DE BENEFÍCIOS E DESPESAS INDIRETAS - BDI</t>
    </r>
  </si>
  <si>
    <t>PARCELAS DO BDI PARA EDIFICAÇÕES (%)</t>
  </si>
  <si>
    <t>Estado:</t>
  </si>
  <si>
    <t>PARANÁ</t>
  </si>
  <si>
    <t>Vigência:</t>
  </si>
  <si>
    <r>
      <t>A PARTIR DE 12/2023</t>
    </r>
    <r>
      <rPr>
        <sz val="10"/>
        <color rgb="FF000000"/>
        <rFont val="Calibri"/>
        <family val="2"/>
      </rPr>
      <t> </t>
    </r>
  </si>
  <si>
    <t>Encargos Sociais Sobre a Mão de Obra:</t>
  </si>
  <si>
    <t>CÓDIGO</t>
  </si>
  <si>
    <t>COM DESONERAÇÃO</t>
  </si>
  <si>
    <t>SEM DESONERAÇÃO</t>
  </si>
  <si>
    <t>HORISTA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</si>
  <si>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</si>
  <si>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</si>
  <si>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</si>
  <si>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</si>
  <si>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</si>
  <si>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</si>
  <si>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</si>
  <si>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</si>
  <si>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</si>
  <si>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</si>
  <si>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</si>
  <si>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</si>
  <si>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</si>
  <si>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</si>
  <si>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</si>
  <si>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</si>
  <si>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</si>
  <si>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</si>
  <si>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</si>
  <si>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</si>
  <si>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Total</t>
  </si>
  <si>
    <t>Grupo B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</si>
  <si>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</si>
  <si>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</si>
  <si>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</si>
  <si>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</si>
  <si>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</si>
  <si>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</si>
  <si>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</si>
  <si>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13°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</si>
  <si>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</si>
  <si>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</si>
  <si>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</si>
  <si>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</si>
  <si>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</si>
  <si>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</si>
  <si>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</si>
  <si>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Acidentes de Trabalho</t>
  </si>
  <si>
    <t>B9</t>
  </si>
  <si>
    <t>Férias Gozadas</t>
  </si>
  <si>
    <t>B10</t>
  </si>
  <si>
    <t>Salário Maternidade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</si>
  <si>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</si>
  <si>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</si>
  <si>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</si>
  <si>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</si>
  <si>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</si>
  <si>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</si>
  <si>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</si>
  <si>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</si>
  <si>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</si>
  <si>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</si>
  <si>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</si>
  <si>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Grupo D</t>
  </si>
  <si>
    <t>D1</t>
  </si>
  <si>
    <t>Reicidência de Grupo A sobre Grupo B</t>
  </si>
  <si>
    <t>D2</t>
  </si>
  <si>
    <t>Reincidêcia de Grupo A sobre Aviso Prévio Trabalhando e Reincidência do FGTS sobre Aviso Prévio Indenizado</t>
  </si>
  <si>
    <t>D</t>
  </si>
  <si>
    <t>Total (A+B+C+D)</t>
  </si>
  <si>
    <r>
      <t xml:space="preserve">GOVERNO DO ESTADO DO PARANÁ
AGÊNCIA DE ASSUNTOS METROPOLITANMOS DO PARANÁ
</t>
    </r>
    <r>
      <rPr>
        <b/>
        <sz val="10"/>
        <color theme="1"/>
        <rFont val="Arial"/>
        <family val="2"/>
      </rPr>
      <t>ELABORAÇÃO DE ESTUDOS PRELIMINARES E ANTEPROJETO, PARA CONSTRUÇÃO DO TERMINAL METROPOLITANO DE LONDRINA</t>
    </r>
    <r>
      <rPr>
        <sz val="10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>CÁLCULO DE ENCARGOS SOCIAIS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</si>
</sst>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[$-416]General"/>
    <numFmt numFmtId="167" formatCode="#,##0.00&quot; &quot;;&quot; (&quot;#,##0.00&quot;)&quot;;&quot; -&quot;#&quot; &quot;;@&quot; &quot;"/>
    <numFmt numFmtId="168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  <charset val="204"/>
    </font>
    <font>
      <sz val="10"/>
      <color theme="1" tint="0.499984740745262"/>
      <name val="Arial"/>
      <family val="2"/>
    </font>
    <font>
      <b/>
      <i/>
      <sz val="10"/>
      <color rgb="FFFF0000"/>
      <name val="Arial"/>
      <family val="2"/>
    </font>
    <font>
      <b/>
      <sz val="10"/>
      <color theme="1" tint="0.499984740745262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b/>
      <sz val="10"/>
      <color theme="3" tint="-0.249977111117893"/>
      <name val="Arial"/>
      <family val="2"/>
    </font>
    <font>
      <b/>
      <sz val="12"/>
      <name val="Cambria"/>
      <family val="2"/>
      <scheme val="major"/>
    </font>
    <font>
      <sz val="12"/>
      <color theme="1"/>
      <name val="Cambria"/>
      <family val="2"/>
      <scheme val="major"/>
    </font>
    <font>
      <sz val="12"/>
      <name val="Cambria"/>
      <family val="2"/>
      <scheme val="major"/>
    </font>
    <font>
      <sz val="12"/>
      <color rgb="FFFF0000"/>
      <name val="Cambria"/>
      <family val="2"/>
      <scheme val="major"/>
    </font>
    <font>
      <b/>
      <sz val="12"/>
      <color theme="0"/>
      <name val="Cambria"/>
      <family val="2"/>
      <scheme val="major"/>
    </font>
    <font>
      <sz val="12"/>
      <color theme="0"/>
      <name val="Cambria"/>
      <family val="2"/>
      <scheme val="major"/>
    </font>
    <font>
      <sz val="10"/>
      <color rgb="FFFF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8" fillId="0" borderId="0" applyBorder="0" applyProtection="0"/>
    <xf numFmtId="167" fontId="8" fillId="0" borderId="0" applyBorder="0" applyProtection="0"/>
    <xf numFmtId="0" fontId="9" fillId="0" borderId="0"/>
    <xf numFmtId="0" fontId="14" fillId="0" borderId="0"/>
    <xf numFmtId="43" fontId="5" fillId="0" borderId="0" applyFill="0" applyBorder="0" applyAlignment="0" applyProtection="0"/>
    <xf numFmtId="0" fontId="4" fillId="0" borderId="0"/>
    <xf numFmtId="0" fontId="4" fillId="0" borderId="0"/>
    <xf numFmtId="0" fontId="3" fillId="0" borderId="0"/>
    <xf numFmtId="0" fontId="15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9" fontId="10" fillId="0" borderId="0" xfId="1" applyFont="1" applyFill="1" applyBorder="1" applyAlignment="1">
      <alignment horizontal="center" vertical="center" wrapText="1"/>
    </xf>
    <xf numFmtId="9" fontId="12" fillId="0" borderId="0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44" fontId="3" fillId="0" borderId="4" xfId="0" applyNumberFormat="1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" fontId="6" fillId="3" borderId="4" xfId="6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6" applyFont="1" applyFill="1" applyBorder="1" applyAlignment="1" applyProtection="1">
      <alignment horizontal="center" vertical="center" wrapText="1"/>
      <protection locked="0"/>
    </xf>
    <xf numFmtId="43" fontId="6" fillId="3" borderId="4" xfId="7" applyFont="1" applyFill="1" applyBorder="1" applyAlignment="1" applyProtection="1">
      <alignment horizontal="center" vertical="center"/>
      <protection locked="0"/>
    </xf>
    <xf numFmtId="10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164" fontId="5" fillId="4" borderId="4" xfId="2" applyFont="1" applyFill="1" applyBorder="1" applyAlignment="1">
      <alignment horizontal="center" vertical="center" wrapText="1"/>
    </xf>
    <xf numFmtId="44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7" applyNumberFormat="1" applyFont="1" applyFill="1" applyBorder="1" applyAlignment="1" applyProtection="1">
      <alignment horizontal="center" vertical="center"/>
      <protection locked="0"/>
    </xf>
    <xf numFmtId="0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44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10" fontId="5" fillId="4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 wrapText="1"/>
    </xf>
    <xf numFmtId="164" fontId="6" fillId="5" borderId="9" xfId="2" applyFont="1" applyFill="1" applyBorder="1" applyAlignment="1">
      <alignment horizontal="center" vertical="center" wrapText="1"/>
    </xf>
    <xf numFmtId="10" fontId="6" fillId="5" borderId="9" xfId="1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0" fontId="6" fillId="5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0" fontId="3" fillId="0" borderId="5" xfId="1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/>
    </xf>
    <xf numFmtId="165" fontId="6" fillId="6" borderId="9" xfId="0" applyNumberFormat="1" applyFont="1" applyFill="1" applyBorder="1" applyAlignment="1">
      <alignment horizontal="center" vertical="center" wrapText="1"/>
    </xf>
    <xf numFmtId="9" fontId="16" fillId="6" borderId="9" xfId="1" applyFont="1" applyFill="1" applyBorder="1" applyAlignment="1">
      <alignment horizontal="center" vertical="center" wrapText="1"/>
    </xf>
    <xf numFmtId="10" fontId="6" fillId="6" borderId="5" xfId="1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left" vertical="center" wrapText="1"/>
    </xf>
    <xf numFmtId="165" fontId="5" fillId="7" borderId="9" xfId="0" applyNumberFormat="1" applyFont="1" applyFill="1" applyBorder="1" applyAlignment="1">
      <alignment horizontal="center" vertical="center" wrapText="1"/>
    </xf>
    <xf numFmtId="9" fontId="5" fillId="7" borderId="9" xfId="1" applyFont="1" applyFill="1" applyBorder="1" applyAlignment="1">
      <alignment horizontal="center" vertical="center" wrapText="1"/>
    </xf>
    <xf numFmtId="10" fontId="5" fillId="7" borderId="5" xfId="1" applyNumberFormat="1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 wrapText="1"/>
    </xf>
    <xf numFmtId="10" fontId="3" fillId="4" borderId="4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/>
    </xf>
    <xf numFmtId="165" fontId="3" fillId="8" borderId="4" xfId="0" applyNumberFormat="1" applyFont="1" applyFill="1" applyBorder="1" applyAlignment="1">
      <alignment horizontal="center" vertical="center" wrapText="1"/>
    </xf>
    <xf numFmtId="10" fontId="3" fillId="8" borderId="4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center" vertical="center"/>
    </xf>
    <xf numFmtId="165" fontId="3" fillId="9" borderId="4" xfId="0" applyNumberFormat="1" applyFont="1" applyFill="1" applyBorder="1" applyAlignment="1">
      <alignment horizontal="center" vertical="center" wrapText="1"/>
    </xf>
    <xf numFmtId="10" fontId="3" fillId="9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10" borderId="0" xfId="9" applyFont="1" applyFill="1" applyAlignment="1">
      <alignment horizontal="center" vertical="center"/>
    </xf>
    <xf numFmtId="0" fontId="20" fillId="10" borderId="0" xfId="9" applyFont="1" applyFill="1" applyAlignment="1">
      <alignment horizontal="center" vertical="center" wrapText="1"/>
    </xf>
    <xf numFmtId="43" fontId="18" fillId="0" borderId="0" xfId="17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18" applyFont="1" applyAlignment="1">
      <alignment vertical="center"/>
    </xf>
    <xf numFmtId="0" fontId="19" fillId="9" borderId="11" xfId="18" applyFont="1" applyFill="1" applyBorder="1" applyAlignment="1">
      <alignment horizontal="center" vertical="center"/>
    </xf>
    <xf numFmtId="0" fontId="19" fillId="0" borderId="11" xfId="18" applyFont="1" applyBorder="1" applyAlignment="1">
      <alignment horizontal="center"/>
    </xf>
    <xf numFmtId="0" fontId="19" fillId="0" borderId="11" xfId="18" applyFont="1" applyBorder="1"/>
    <xf numFmtId="10" fontId="19" fillId="0" borderId="11" xfId="18" applyNumberFormat="1" applyFont="1" applyBorder="1" applyAlignment="1">
      <alignment horizontal="center"/>
    </xf>
    <xf numFmtId="10" fontId="19" fillId="0" borderId="11" xfId="19" applyNumberFormat="1" applyFont="1" applyBorder="1" applyAlignment="1">
      <alignment horizontal="center"/>
    </xf>
    <xf numFmtId="0" fontId="19" fillId="0" borderId="0" xfId="18" applyFont="1"/>
    <xf numFmtId="0" fontId="19" fillId="0" borderId="12" xfId="18" applyFont="1" applyBorder="1" applyAlignment="1">
      <alignment horizontal="center"/>
    </xf>
    <xf numFmtId="0" fontId="19" fillId="0" borderId="12" xfId="18" applyFont="1" applyBorder="1" applyAlignment="1">
      <alignment horizontal="left"/>
    </xf>
    <xf numFmtId="10" fontId="19" fillId="0" borderId="12" xfId="19" applyNumberFormat="1" applyFont="1" applyFill="1" applyBorder="1" applyAlignment="1">
      <alignment horizontal="center"/>
    </xf>
    <xf numFmtId="0" fontId="19" fillId="0" borderId="11" xfId="18" applyFont="1" applyBorder="1" applyAlignment="1">
      <alignment horizontal="left"/>
    </xf>
    <xf numFmtId="10" fontId="19" fillId="0" borderId="11" xfId="19" applyNumberFormat="1" applyFont="1" applyFill="1" applyBorder="1" applyAlignment="1">
      <alignment horizontal="center"/>
    </xf>
    <xf numFmtId="0" fontId="19" fillId="0" borderId="0" xfId="18" applyFont="1" applyFill="1"/>
    <xf numFmtId="0" fontId="17" fillId="0" borderId="0" xfId="18" applyFont="1" applyFill="1"/>
    <xf numFmtId="0" fontId="0" fillId="0" borderId="0" xfId="0" applyFill="1"/>
    <xf numFmtId="0" fontId="19" fillId="0" borderId="0" xfId="18" applyFont="1" applyFill="1" applyAlignment="1"/>
    <xf numFmtId="0" fontId="19" fillId="0" borderId="13" xfId="18" applyFont="1" applyFill="1" applyBorder="1" applyAlignment="1"/>
    <xf numFmtId="0" fontId="19" fillId="0" borderId="14" xfId="18" applyFont="1" applyFill="1" applyBorder="1" applyAlignment="1"/>
    <xf numFmtId="0" fontId="19" fillId="0" borderId="15" xfId="18" applyFont="1" applyFill="1" applyBorder="1" applyAlignment="1"/>
    <xf numFmtId="0" fontId="19" fillId="0" borderId="16" xfId="18" applyFont="1" applyFill="1" applyBorder="1"/>
    <xf numFmtId="0" fontId="27" fillId="0" borderId="25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10" fontId="25" fillId="0" borderId="25" xfId="0" applyNumberFormat="1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10" fontId="25" fillId="0" borderId="33" xfId="0" applyNumberFormat="1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10" fontId="24" fillId="0" borderId="25" xfId="0" applyNumberFormat="1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right" vertical="center" wrapText="1"/>
    </xf>
    <xf numFmtId="0" fontId="24" fillId="0" borderId="2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9" fillId="9" borderId="11" xfId="18" applyFont="1" applyFill="1" applyBorder="1" applyAlignment="1">
      <alignment horizontal="center" vertical="center"/>
    </xf>
    <xf numFmtId="0" fontId="21" fillId="3" borderId="13" xfId="18" applyFont="1" applyFill="1" applyBorder="1" applyAlignment="1">
      <alignment horizontal="center" vertical="center"/>
    </xf>
    <xf numFmtId="0" fontId="21" fillId="3" borderId="15" xfId="18" applyFont="1" applyFill="1" applyBorder="1" applyAlignment="1">
      <alignment horizontal="center" vertical="center"/>
    </xf>
    <xf numFmtId="0" fontId="21" fillId="3" borderId="18" xfId="18" applyFont="1" applyFill="1" applyBorder="1" applyAlignment="1">
      <alignment horizontal="center" vertical="center"/>
    </xf>
    <xf numFmtId="0" fontId="21" fillId="3" borderId="16" xfId="18" applyFont="1" applyFill="1" applyBorder="1" applyAlignment="1">
      <alignment horizontal="center" vertical="center"/>
    </xf>
    <xf numFmtId="0" fontId="21" fillId="3" borderId="20" xfId="18" applyFont="1" applyFill="1" applyBorder="1" applyAlignment="1">
      <alignment horizontal="center" vertical="center"/>
    </xf>
    <xf numFmtId="0" fontId="21" fillId="3" borderId="21" xfId="18" applyFont="1" applyFill="1" applyBorder="1" applyAlignment="1">
      <alignment horizontal="center" vertical="center"/>
    </xf>
    <xf numFmtId="10" fontId="22" fillId="3" borderId="17" xfId="19" applyNumberFormat="1" applyFont="1" applyFill="1" applyBorder="1" applyAlignment="1">
      <alignment horizontal="center" vertical="center"/>
    </xf>
    <xf numFmtId="10" fontId="22" fillId="3" borderId="19" xfId="19" applyNumberFormat="1" applyFont="1" applyFill="1" applyBorder="1" applyAlignment="1">
      <alignment horizontal="center" vertical="center"/>
    </xf>
    <xf numFmtId="10" fontId="22" fillId="3" borderId="12" xfId="19" applyNumberFormat="1" applyFont="1" applyFill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20">
    <cellStyle name="Excel Built-in Comma" xfId="4"/>
    <cellStyle name="Excel Built-in Normal" xfId="3"/>
    <cellStyle name="Moeda 2" xfId="2"/>
    <cellStyle name="Moeda 2 3" xfId="15"/>
    <cellStyle name="Normal" xfId="0" builtinId="0"/>
    <cellStyle name="Normal 10 3 4" xfId="12"/>
    <cellStyle name="Normal 118" xfId="8"/>
    <cellStyle name="Normal 19" xfId="11"/>
    <cellStyle name="Normal 2" xfId="5"/>
    <cellStyle name="Normal 3 2" xfId="14"/>
    <cellStyle name="Normal 4" xfId="6"/>
    <cellStyle name="Normal 4 2" xfId="9"/>
    <cellStyle name="Normal 5" xfId="13"/>
    <cellStyle name="Normal 6" xfId="10"/>
    <cellStyle name="Normal_pLANILHA DE BDI_MODELO v2_EXCEL" xfId="18"/>
    <cellStyle name="Porcentagem" xfId="1" builtinId="5"/>
    <cellStyle name="Porcentagem_pLANILHA DE BDI_MODELO v2_EXCEL" xfId="19"/>
    <cellStyle name="Vírgula" xfId="17" builtinId="3"/>
    <cellStyle name="Vírgula 10" xfId="16"/>
    <cellStyle name="Vírgula 2" xfId="7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C000"/>
      <color rgb="FFFED1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85726</xdr:colOff>
      <xdr:row>10</xdr:row>
      <xdr:rowOff>66675</xdr:rowOff>
    </xdr:from>
    <xdr:ext cx="3305174" cy="63754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1" y="2914650"/>
          <a:ext cx="3305174" cy="63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1</xdr:row>
      <xdr:rowOff>57150</xdr:rowOff>
    </xdr:from>
    <xdr:to>
      <xdr:col>18</xdr:col>
      <xdr:colOff>46333</xdr:colOff>
      <xdr:row>64</xdr:row>
      <xdr:rowOff>19049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247650"/>
          <a:ext cx="8723608" cy="5486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3"/>
  <sheetViews>
    <sheetView showGridLines="0" tabSelected="1" view="pageBreakPreview" zoomScaleNormal="100" zoomScaleSheetLayoutView="100" workbookViewId="0">
      <pane xSplit="3" ySplit="3" topLeftCell="D4" activePane="bottomRight" state="frozen"/>
      <selection activeCell="C23" sqref="C23"/>
      <selection pane="topRight" activeCell="C23" sqref="C23"/>
      <selection pane="bottomLeft" activeCell="C23" sqref="C23"/>
      <selection pane="bottomRight" activeCell="B1" sqref="B1:H1"/>
    </sheetView>
  </sheetViews>
  <sheetFormatPr defaultRowHeight="12.75" x14ac:dyDescent="0.25"/>
  <cols>
    <col min="1" max="1" width="4.85546875" style="15" customWidth="1"/>
    <col min="2" max="2" width="7.5703125" style="11" customWidth="1"/>
    <col min="3" max="3" width="50" style="1" customWidth="1"/>
    <col min="4" max="4" width="8.42578125" style="11" customWidth="1"/>
    <col min="5" max="5" width="12.5703125" style="11" bestFit="1" customWidth="1"/>
    <col min="6" max="6" width="16.85546875" style="11" customWidth="1"/>
    <col min="7" max="7" width="19.5703125" style="1" customWidth="1"/>
    <col min="8" max="8" width="11.5703125" style="1" bestFit="1" customWidth="1"/>
    <col min="9" max="9" width="9.5703125" style="1" bestFit="1" customWidth="1"/>
    <col min="10" max="10" width="9.140625" style="1"/>
    <col min="11" max="11" width="14.28515625" style="1" bestFit="1" customWidth="1"/>
    <col min="12" max="12" width="18.140625" style="1" customWidth="1"/>
    <col min="13" max="16384" width="9.140625" style="1"/>
  </cols>
  <sheetData>
    <row r="1" spans="1:12" ht="95.25" customHeight="1" x14ac:dyDescent="0.25">
      <c r="B1" s="114" t="s">
        <v>124</v>
      </c>
      <c r="C1" s="114"/>
      <c r="D1" s="114"/>
      <c r="E1" s="114"/>
      <c r="F1" s="114"/>
      <c r="G1" s="114"/>
      <c r="H1" s="114"/>
    </row>
    <row r="2" spans="1:12" ht="10.5" customHeight="1" x14ac:dyDescent="0.25">
      <c r="G2" s="12"/>
    </row>
    <row r="3" spans="1:12" ht="31.5" customHeight="1" x14ac:dyDescent="0.25">
      <c r="B3" s="23" t="s">
        <v>20</v>
      </c>
      <c r="C3" s="23" t="s">
        <v>93</v>
      </c>
      <c r="D3" s="23" t="s">
        <v>92</v>
      </c>
      <c r="E3" s="30" t="s">
        <v>94</v>
      </c>
      <c r="F3" s="31" t="s">
        <v>21</v>
      </c>
      <c r="G3" s="31" t="s">
        <v>22</v>
      </c>
      <c r="H3" s="31" t="s">
        <v>103</v>
      </c>
    </row>
    <row r="4" spans="1:12" s="13" customFormat="1" ht="21.75" customHeight="1" x14ac:dyDescent="0.25">
      <c r="A4" s="16"/>
      <c r="B4" s="26">
        <v>1</v>
      </c>
      <c r="C4" s="27" t="s">
        <v>86</v>
      </c>
      <c r="D4" s="26"/>
      <c r="E4" s="26"/>
      <c r="F4" s="26"/>
      <c r="G4" s="28">
        <f>'Planilha Sintética'!G4</f>
        <v>262420.26</v>
      </c>
      <c r="H4" s="35">
        <v>0.16667836609524148</v>
      </c>
    </row>
    <row r="5" spans="1:12" s="13" customFormat="1" ht="21.75" customHeight="1" x14ac:dyDescent="0.25">
      <c r="A5" s="16"/>
      <c r="B5" s="26">
        <v>2</v>
      </c>
      <c r="C5" s="27" t="s">
        <v>87</v>
      </c>
      <c r="D5" s="26"/>
      <c r="E5" s="26"/>
      <c r="F5" s="26"/>
      <c r="G5" s="28">
        <f>'Planilha Sintética'!G9</f>
        <v>12800.09</v>
      </c>
      <c r="H5" s="35">
        <v>8.3688325986342425E-3</v>
      </c>
    </row>
    <row r="6" spans="1:12" s="13" customFormat="1" ht="21.75" customHeight="1" x14ac:dyDescent="0.25">
      <c r="A6" s="16"/>
      <c r="B6" s="26">
        <v>3</v>
      </c>
      <c r="C6" s="27" t="s">
        <v>27</v>
      </c>
      <c r="D6" s="26"/>
      <c r="E6" s="26"/>
      <c r="F6" s="26"/>
      <c r="G6" s="28">
        <f>'Planilha Sintética'!G11</f>
        <v>87857.199860637396</v>
      </c>
      <c r="H6" s="35">
        <v>5.2764676673105262E-2</v>
      </c>
    </row>
    <row r="7" spans="1:12" s="13" customFormat="1" ht="21.75" customHeight="1" x14ac:dyDescent="0.25">
      <c r="A7" s="16"/>
      <c r="B7" s="26">
        <v>4</v>
      </c>
      <c r="C7" s="27" t="s">
        <v>88</v>
      </c>
      <c r="D7" s="26"/>
      <c r="E7" s="26"/>
      <c r="F7" s="26"/>
      <c r="G7" s="28">
        <f>'Planilha Sintética'!G23</f>
        <v>13979.02</v>
      </c>
      <c r="H7" s="35">
        <v>2.0946873589104485E-2</v>
      </c>
    </row>
    <row r="8" spans="1:12" s="13" customFormat="1" ht="21.75" customHeight="1" x14ac:dyDescent="0.25">
      <c r="A8" s="16"/>
      <c r="B8" s="26">
        <v>5</v>
      </c>
      <c r="C8" s="27" t="s">
        <v>89</v>
      </c>
      <c r="D8" s="26"/>
      <c r="E8" s="26"/>
      <c r="F8" s="26"/>
      <c r="G8" s="28">
        <f>'Planilha Sintética'!G25</f>
        <v>682402.95</v>
      </c>
      <c r="H8" s="35">
        <v>0.75124125104391459</v>
      </c>
      <c r="L8" s="34"/>
    </row>
    <row r="9" spans="1:12" ht="21.75" customHeight="1" x14ac:dyDescent="0.25">
      <c r="A9" s="1"/>
      <c r="B9" s="22"/>
      <c r="C9" s="23" t="s">
        <v>17</v>
      </c>
      <c r="D9" s="23"/>
      <c r="E9" s="24"/>
      <c r="F9" s="25"/>
      <c r="G9" s="29">
        <f>SUM(G4:G8)</f>
        <v>1059459.5198606374</v>
      </c>
      <c r="H9" s="25"/>
    </row>
    <row r="12" spans="1:12" x14ac:dyDescent="0.25">
      <c r="G12" s="14"/>
    </row>
    <row r="13" spans="1:12" x14ac:dyDescent="0.25">
      <c r="G13" s="14"/>
    </row>
  </sheetData>
  <autoFilter ref="B3:H9"/>
  <mergeCells count="1">
    <mergeCell ref="B1:H1"/>
  </mergeCells>
  <printOptions horizontalCentered="1"/>
  <pageMargins left="0.51181102362204722" right="0.51181102362204722" top="0.78740157480314965" bottom="0.78740157480314965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49"/>
  <sheetViews>
    <sheetView showGridLines="0" view="pageBreakPreview" zoomScaleNormal="100" zoomScaleSheetLayoutView="100" workbookViewId="0">
      <pane xSplit="3" ySplit="3" topLeftCell="D31" activePane="bottomRight" state="frozen"/>
      <selection activeCell="C23" sqref="C23"/>
      <selection pane="topRight" activeCell="C23" sqref="C23"/>
      <selection pane="bottomLeft" activeCell="C23" sqref="C23"/>
      <selection pane="bottomRight" activeCell="J2" sqref="J2"/>
    </sheetView>
  </sheetViews>
  <sheetFormatPr defaultRowHeight="12.75" outlineLevelRow="1" x14ac:dyDescent="0.25"/>
  <cols>
    <col min="1" max="1" width="4.85546875" style="15" customWidth="1"/>
    <col min="2" max="2" width="7.5703125" style="11" customWidth="1"/>
    <col min="3" max="3" width="50" style="1" customWidth="1"/>
    <col min="4" max="4" width="8.42578125" style="11" customWidth="1"/>
    <col min="5" max="5" width="12.5703125" style="11" bestFit="1" customWidth="1"/>
    <col min="6" max="6" width="16.85546875" style="11" customWidth="1"/>
    <col min="7" max="7" width="19.5703125" style="1" customWidth="1"/>
    <col min="8" max="8" width="11.5703125" style="11" bestFit="1" customWidth="1"/>
    <col min="9" max="9" width="9.5703125" style="1" bestFit="1" customWidth="1"/>
    <col min="10" max="10" width="9.140625" style="1"/>
    <col min="11" max="11" width="14.28515625" style="1" bestFit="1" customWidth="1"/>
    <col min="12" max="12" width="18.140625" style="1" customWidth="1"/>
    <col min="13" max="16384" width="9.140625" style="1"/>
  </cols>
  <sheetData>
    <row r="1" spans="1:8" ht="95.25" customHeight="1" x14ac:dyDescent="0.25">
      <c r="B1" s="114" t="s">
        <v>90</v>
      </c>
      <c r="C1" s="114"/>
      <c r="D1" s="114"/>
      <c r="E1" s="114"/>
      <c r="F1" s="114"/>
      <c r="G1" s="114"/>
      <c r="H1" s="114"/>
    </row>
    <row r="2" spans="1:8" ht="10.5" customHeight="1" x14ac:dyDescent="0.25">
      <c r="G2" s="12"/>
    </row>
    <row r="3" spans="1:8" ht="31.5" customHeight="1" x14ac:dyDescent="0.25">
      <c r="B3" s="23" t="s">
        <v>20</v>
      </c>
      <c r="C3" s="23" t="s">
        <v>93</v>
      </c>
      <c r="D3" s="23" t="s">
        <v>92</v>
      </c>
      <c r="E3" s="30" t="s">
        <v>94</v>
      </c>
      <c r="F3" s="31" t="s">
        <v>21</v>
      </c>
      <c r="G3" s="31" t="s">
        <v>22</v>
      </c>
      <c r="H3" s="31" t="s">
        <v>103</v>
      </c>
    </row>
    <row r="4" spans="1:8" s="13" customFormat="1" ht="21.75" customHeight="1" x14ac:dyDescent="0.25">
      <c r="A4" s="16"/>
      <c r="B4" s="26">
        <v>1</v>
      </c>
      <c r="C4" s="27" t="s">
        <v>86</v>
      </c>
      <c r="D4" s="26"/>
      <c r="E4" s="26"/>
      <c r="F4" s="26"/>
      <c r="G4" s="28">
        <v>262420.26</v>
      </c>
      <c r="H4" s="35">
        <f t="shared" ref="H4:H44" si="0">G4/$G$45</f>
        <v>0.24769257822565896</v>
      </c>
    </row>
    <row r="5" spans="1:8" outlineLevel="1" x14ac:dyDescent="0.25">
      <c r="B5" s="17" t="s">
        <v>0</v>
      </c>
      <c r="C5" s="21" t="s">
        <v>32</v>
      </c>
      <c r="D5" s="17" t="s">
        <v>91</v>
      </c>
      <c r="E5" s="18">
        <v>1</v>
      </c>
      <c r="F5" s="19">
        <f>G5/E5</f>
        <v>31850</v>
      </c>
      <c r="G5" s="20">
        <v>31850</v>
      </c>
      <c r="H5" s="63">
        <f t="shared" si="0"/>
        <v>3.0062498286097413E-2</v>
      </c>
    </row>
    <row r="6" spans="1:8" outlineLevel="1" x14ac:dyDescent="0.25">
      <c r="B6" s="17" t="s">
        <v>28</v>
      </c>
      <c r="C6" s="21" t="s">
        <v>33</v>
      </c>
      <c r="D6" s="17" t="s">
        <v>91</v>
      </c>
      <c r="E6" s="18">
        <v>1</v>
      </c>
      <c r="F6" s="19">
        <f t="shared" ref="F6:F8" si="1">G6/E6</f>
        <v>60000</v>
      </c>
      <c r="G6" s="20">
        <v>60000</v>
      </c>
      <c r="H6" s="63">
        <f t="shared" si="0"/>
        <v>5.66326498325226E-2</v>
      </c>
    </row>
    <row r="7" spans="1:8" outlineLevel="1" x14ac:dyDescent="0.25">
      <c r="B7" s="17" t="s">
        <v>29</v>
      </c>
      <c r="C7" s="21" t="s">
        <v>95</v>
      </c>
      <c r="D7" s="17" t="s">
        <v>91</v>
      </c>
      <c r="E7" s="18">
        <v>1</v>
      </c>
      <c r="F7" s="19">
        <f t="shared" si="1"/>
        <v>111570.26</v>
      </c>
      <c r="G7" s="20">
        <v>111570.26</v>
      </c>
      <c r="H7" s="63">
        <f t="shared" si="0"/>
        <v>0.10530865777172504</v>
      </c>
    </row>
    <row r="8" spans="1:8" outlineLevel="1" x14ac:dyDescent="0.25">
      <c r="B8" s="17" t="s">
        <v>30</v>
      </c>
      <c r="C8" s="21" t="s">
        <v>34</v>
      </c>
      <c r="D8" s="17" t="s">
        <v>91</v>
      </c>
      <c r="E8" s="18">
        <v>1</v>
      </c>
      <c r="F8" s="19">
        <f t="shared" si="1"/>
        <v>59000</v>
      </c>
      <c r="G8" s="20">
        <v>59000</v>
      </c>
      <c r="H8" s="63">
        <f t="shared" si="0"/>
        <v>5.5688772335313892E-2</v>
      </c>
    </row>
    <row r="9" spans="1:8" s="13" customFormat="1" ht="21.75" customHeight="1" x14ac:dyDescent="0.25">
      <c r="A9" s="16"/>
      <c r="B9" s="26">
        <v>2</v>
      </c>
      <c r="C9" s="27" t="s">
        <v>87</v>
      </c>
      <c r="D9" s="26"/>
      <c r="E9" s="26"/>
      <c r="F9" s="26"/>
      <c r="G9" s="28">
        <v>12800.09</v>
      </c>
      <c r="H9" s="35">
        <f t="shared" si="0"/>
        <v>1.2081716913246237E-2</v>
      </c>
    </row>
    <row r="10" spans="1:8" outlineLevel="1" x14ac:dyDescent="0.25">
      <c r="B10" s="17" t="s">
        <v>1</v>
      </c>
      <c r="C10" s="21" t="s">
        <v>35</v>
      </c>
      <c r="D10" s="17" t="s">
        <v>101</v>
      </c>
      <c r="E10" s="18">
        <v>23000</v>
      </c>
      <c r="F10" s="19">
        <f>G10/E10</f>
        <v>0.55652565217391303</v>
      </c>
      <c r="G10" s="20">
        <v>12800.09</v>
      </c>
      <c r="H10" s="63">
        <f t="shared" si="0"/>
        <v>1.2081716913246237E-2</v>
      </c>
    </row>
    <row r="11" spans="1:8" s="13" customFormat="1" ht="21.75" customHeight="1" x14ac:dyDescent="0.25">
      <c r="A11" s="16"/>
      <c r="B11" s="26">
        <v>3</v>
      </c>
      <c r="C11" s="27" t="s">
        <v>27</v>
      </c>
      <c r="D11" s="26"/>
      <c r="E11" s="26"/>
      <c r="F11" s="26"/>
      <c r="G11" s="28">
        <v>87857.199860637396</v>
      </c>
      <c r="H11" s="35">
        <f t="shared" si="0"/>
        <v>8.2926433916223855E-2</v>
      </c>
    </row>
    <row r="12" spans="1:8" s="13" customFormat="1" ht="21.75" customHeight="1" outlineLevel="1" collapsed="1" x14ac:dyDescent="0.25">
      <c r="A12" s="16"/>
      <c r="B12" s="17" t="s">
        <v>23</v>
      </c>
      <c r="C12" s="21" t="s">
        <v>36</v>
      </c>
      <c r="D12" s="17" t="s">
        <v>91</v>
      </c>
      <c r="E12" s="18">
        <v>12</v>
      </c>
      <c r="F12" s="19">
        <f t="shared" ref="F12:F22" si="2">G12/E12</f>
        <v>3814.5136907580345</v>
      </c>
      <c r="G12" s="20">
        <v>45774.164289096414</v>
      </c>
      <c r="H12" s="63">
        <f t="shared" si="0"/>
        <v>4.3205203626012635E-2</v>
      </c>
    </row>
    <row r="13" spans="1:8" ht="21.75" customHeight="1" outlineLevel="1" x14ac:dyDescent="0.25">
      <c r="B13" s="17" t="s">
        <v>24</v>
      </c>
      <c r="C13" s="21" t="s">
        <v>37</v>
      </c>
      <c r="D13" s="17" t="s">
        <v>91</v>
      </c>
      <c r="E13" s="18">
        <v>6</v>
      </c>
      <c r="F13" s="19">
        <f t="shared" si="2"/>
        <v>446.40562182883286</v>
      </c>
      <c r="G13" s="20">
        <v>2678.4337309729972</v>
      </c>
      <c r="H13" s="63">
        <f t="shared" si="0"/>
        <v>2.52811332643018E-3</v>
      </c>
    </row>
    <row r="14" spans="1:8" ht="21.75" customHeight="1" outlineLevel="1" x14ac:dyDescent="0.25">
      <c r="B14" s="17" t="s">
        <v>38</v>
      </c>
      <c r="C14" s="21" t="s">
        <v>39</v>
      </c>
      <c r="D14" s="17" t="s">
        <v>91</v>
      </c>
      <c r="E14" s="18">
        <v>6</v>
      </c>
      <c r="F14" s="19">
        <f t="shared" si="2"/>
        <v>556.33949746306632</v>
      </c>
      <c r="G14" s="20">
        <v>3338.0369847783977</v>
      </c>
      <c r="H14" s="63">
        <f t="shared" si="0"/>
        <v>3.1506979947827428E-3</v>
      </c>
    </row>
    <row r="15" spans="1:8" ht="21.75" customHeight="1" outlineLevel="1" x14ac:dyDescent="0.25">
      <c r="B15" s="17" t="s">
        <v>40</v>
      </c>
      <c r="C15" s="21" t="s">
        <v>41</v>
      </c>
      <c r="D15" s="17" t="s">
        <v>91</v>
      </c>
      <c r="E15" s="18">
        <v>6</v>
      </c>
      <c r="F15" s="19">
        <f t="shared" si="2"/>
        <v>690.61</v>
      </c>
      <c r="G15" s="20">
        <v>4143.66</v>
      </c>
      <c r="H15" s="63">
        <f t="shared" si="0"/>
        <v>3.9111074300838431E-3</v>
      </c>
    </row>
    <row r="16" spans="1:8" ht="21.75" customHeight="1" outlineLevel="1" x14ac:dyDescent="0.25">
      <c r="B16" s="17" t="s">
        <v>42</v>
      </c>
      <c r="C16" s="21" t="s">
        <v>31</v>
      </c>
      <c r="D16" s="17" t="s">
        <v>91</v>
      </c>
      <c r="E16" s="18">
        <v>6</v>
      </c>
      <c r="F16" s="19">
        <f t="shared" si="2"/>
        <v>479.58858026082811</v>
      </c>
      <c r="G16" s="20">
        <v>2877.5314815649685</v>
      </c>
      <c r="H16" s="63">
        <f t="shared" si="0"/>
        <v>2.7160372129588139E-3</v>
      </c>
    </row>
    <row r="17" spans="1:12" ht="21.75" customHeight="1" outlineLevel="1" x14ac:dyDescent="0.25">
      <c r="B17" s="17" t="s">
        <v>43</v>
      </c>
      <c r="C17" s="21" t="s">
        <v>44</v>
      </c>
      <c r="D17" s="17" t="s">
        <v>91</v>
      </c>
      <c r="E17" s="18">
        <v>6</v>
      </c>
      <c r="F17" s="19">
        <f t="shared" si="2"/>
        <v>487.76349802682927</v>
      </c>
      <c r="G17" s="20">
        <v>2926.5809881609757</v>
      </c>
      <c r="H17" s="63">
        <f t="shared" si="0"/>
        <v>2.7623339384839751E-3</v>
      </c>
    </row>
    <row r="18" spans="1:12" ht="21.75" customHeight="1" outlineLevel="1" x14ac:dyDescent="0.25">
      <c r="B18" s="17" t="s">
        <v>45</v>
      </c>
      <c r="C18" s="21" t="s">
        <v>46</v>
      </c>
      <c r="D18" s="17" t="s">
        <v>91</v>
      </c>
      <c r="E18" s="18">
        <v>6</v>
      </c>
      <c r="F18" s="19">
        <f t="shared" si="2"/>
        <v>424.99</v>
      </c>
      <c r="G18" s="20">
        <v>2549.94</v>
      </c>
      <c r="H18" s="63">
        <f t="shared" si="0"/>
        <v>2.4068309852323779E-3</v>
      </c>
    </row>
    <row r="19" spans="1:12" ht="21.75" customHeight="1" outlineLevel="1" x14ac:dyDescent="0.25">
      <c r="B19" s="17" t="s">
        <v>47</v>
      </c>
      <c r="C19" s="21" t="s">
        <v>48</v>
      </c>
      <c r="D19" s="17" t="s">
        <v>91</v>
      </c>
      <c r="E19" s="18">
        <v>6</v>
      </c>
      <c r="F19" s="19">
        <f t="shared" si="2"/>
        <v>409.21499999999997</v>
      </c>
      <c r="G19" s="20">
        <v>2455.29</v>
      </c>
      <c r="H19" s="63">
        <f t="shared" si="0"/>
        <v>2.3174929801215737E-3</v>
      </c>
    </row>
    <row r="20" spans="1:12" ht="21.75" customHeight="1" outlineLevel="1" x14ac:dyDescent="0.25">
      <c r="B20" s="17" t="s">
        <v>49</v>
      </c>
      <c r="C20" s="21" t="s">
        <v>50</v>
      </c>
      <c r="D20" s="17" t="s">
        <v>91</v>
      </c>
      <c r="E20" s="18">
        <v>6</v>
      </c>
      <c r="F20" s="19">
        <f t="shared" si="2"/>
        <v>409.21499999999997</v>
      </c>
      <c r="G20" s="20">
        <v>2455.29</v>
      </c>
      <c r="H20" s="63">
        <f t="shared" si="0"/>
        <v>2.3174929801215737E-3</v>
      </c>
    </row>
    <row r="21" spans="1:12" ht="21.75" customHeight="1" outlineLevel="1" x14ac:dyDescent="0.25">
      <c r="B21" s="17" t="s">
        <v>51</v>
      </c>
      <c r="C21" s="21" t="s">
        <v>52</v>
      </c>
      <c r="D21" s="17" t="s">
        <v>91</v>
      </c>
      <c r="E21" s="18">
        <v>6</v>
      </c>
      <c r="F21" s="19">
        <f t="shared" si="2"/>
        <v>1369.7120643439418</v>
      </c>
      <c r="G21" s="20">
        <v>8218.2723860636506</v>
      </c>
      <c r="H21" s="63">
        <f t="shared" si="0"/>
        <v>7.7570423711372117E-3</v>
      </c>
    </row>
    <row r="22" spans="1:12" ht="21.75" customHeight="1" outlineLevel="1" x14ac:dyDescent="0.25">
      <c r="B22" s="17" t="s">
        <v>53</v>
      </c>
      <c r="C22" s="21" t="s">
        <v>54</v>
      </c>
      <c r="D22" s="17" t="s">
        <v>91</v>
      </c>
      <c r="E22" s="18">
        <v>6</v>
      </c>
      <c r="F22" s="19">
        <f t="shared" si="2"/>
        <v>1740</v>
      </c>
      <c r="G22" s="20">
        <v>10440</v>
      </c>
      <c r="H22" s="63">
        <f t="shared" si="0"/>
        <v>9.8540810708589322E-3</v>
      </c>
    </row>
    <row r="23" spans="1:12" s="13" customFormat="1" ht="21.75" customHeight="1" x14ac:dyDescent="0.25">
      <c r="A23" s="16"/>
      <c r="B23" s="26">
        <v>4</v>
      </c>
      <c r="C23" s="27" t="s">
        <v>88</v>
      </c>
      <c r="D23" s="26"/>
      <c r="E23" s="26"/>
      <c r="F23" s="26"/>
      <c r="G23" s="28">
        <v>13979.02</v>
      </c>
      <c r="H23" s="35">
        <f t="shared" si="0"/>
        <v>1.3194482411030502E-2</v>
      </c>
    </row>
    <row r="24" spans="1:12" s="13" customFormat="1" ht="21.75" customHeight="1" outlineLevel="1" x14ac:dyDescent="0.25">
      <c r="A24" s="16"/>
      <c r="B24" s="17" t="s">
        <v>25</v>
      </c>
      <c r="C24" s="21" t="s">
        <v>85</v>
      </c>
      <c r="D24" s="17" t="s">
        <v>91</v>
      </c>
      <c r="E24" s="18">
        <v>1</v>
      </c>
      <c r="F24" s="19">
        <f>G24/E24</f>
        <v>13979.02</v>
      </c>
      <c r="G24" s="20">
        <v>13979.02</v>
      </c>
      <c r="H24" s="63">
        <f t="shared" si="0"/>
        <v>1.3194482411030502E-2</v>
      </c>
    </row>
    <row r="25" spans="1:12" s="13" customFormat="1" ht="21.75" customHeight="1" x14ac:dyDescent="0.25">
      <c r="A25" s="16"/>
      <c r="B25" s="26">
        <v>5</v>
      </c>
      <c r="C25" s="27" t="s">
        <v>89</v>
      </c>
      <c r="D25" s="26"/>
      <c r="E25" s="26"/>
      <c r="F25" s="26"/>
      <c r="G25" s="28">
        <v>682402.95</v>
      </c>
      <c r="H25" s="35">
        <f t="shared" si="0"/>
        <v>0.64410478853384046</v>
      </c>
      <c r="L25" s="34"/>
    </row>
    <row r="26" spans="1:12" ht="21.75" customHeight="1" outlineLevel="1" x14ac:dyDescent="0.25">
      <c r="B26" s="32" t="s">
        <v>26</v>
      </c>
      <c r="C26" s="21" t="s">
        <v>55</v>
      </c>
      <c r="D26" s="17" t="s">
        <v>91</v>
      </c>
      <c r="E26" s="18">
        <v>1</v>
      </c>
      <c r="F26" s="19">
        <f t="shared" ref="F26:F44" si="3">G26/E26</f>
        <v>186902.5</v>
      </c>
      <c r="G26" s="20">
        <v>186902.5</v>
      </c>
      <c r="H26" s="63">
        <f t="shared" si="0"/>
        <v>0.17641306392205092</v>
      </c>
      <c r="I26" s="14"/>
      <c r="K26" s="33"/>
      <c r="L26" s="33"/>
    </row>
    <row r="27" spans="1:12" ht="21.75" customHeight="1" outlineLevel="1" x14ac:dyDescent="0.25">
      <c r="B27" s="32" t="s">
        <v>56</v>
      </c>
      <c r="C27" s="21" t="s">
        <v>57</v>
      </c>
      <c r="D27" s="17" t="s">
        <v>91</v>
      </c>
      <c r="E27" s="18">
        <v>1</v>
      </c>
      <c r="F27" s="19">
        <f t="shared" si="3"/>
        <v>15766.83</v>
      </c>
      <c r="G27" s="20">
        <v>15766.83</v>
      </c>
      <c r="H27" s="63">
        <f t="shared" si="0"/>
        <v>1.4881956039315206E-2</v>
      </c>
      <c r="K27" s="33"/>
      <c r="L27" s="33"/>
    </row>
    <row r="28" spans="1:12" ht="21.75" customHeight="1" outlineLevel="1" x14ac:dyDescent="0.25">
      <c r="B28" s="32" t="s">
        <v>58</v>
      </c>
      <c r="C28" s="21" t="s">
        <v>59</v>
      </c>
      <c r="D28" s="17" t="s">
        <v>91</v>
      </c>
      <c r="E28" s="18">
        <v>1</v>
      </c>
      <c r="F28" s="19">
        <f t="shared" si="3"/>
        <v>29164.994999999999</v>
      </c>
      <c r="G28" s="20">
        <v>29164.994999999999</v>
      </c>
      <c r="H28" s="63">
        <f t="shared" si="0"/>
        <v>2.752818248670454E-2</v>
      </c>
      <c r="K28" s="33"/>
      <c r="L28" s="33"/>
    </row>
    <row r="29" spans="1:12" ht="21.75" customHeight="1" outlineLevel="1" x14ac:dyDescent="0.25">
      <c r="B29" s="32" t="s">
        <v>60</v>
      </c>
      <c r="C29" s="21" t="s">
        <v>96</v>
      </c>
      <c r="D29" s="17" t="s">
        <v>91</v>
      </c>
      <c r="E29" s="18">
        <v>1</v>
      </c>
      <c r="F29" s="19">
        <f t="shared" si="3"/>
        <v>58000</v>
      </c>
      <c r="G29" s="20">
        <v>58000</v>
      </c>
      <c r="H29" s="63">
        <f t="shared" si="0"/>
        <v>5.4744894838105178E-2</v>
      </c>
      <c r="K29" s="33"/>
      <c r="L29" s="33"/>
    </row>
    <row r="30" spans="1:12" ht="21.75" customHeight="1" outlineLevel="1" x14ac:dyDescent="0.25">
      <c r="B30" s="32" t="s">
        <v>61</v>
      </c>
      <c r="C30" s="21" t="s">
        <v>97</v>
      </c>
      <c r="D30" s="17" t="s">
        <v>91</v>
      </c>
      <c r="E30" s="18">
        <v>1</v>
      </c>
      <c r="F30" s="19">
        <f t="shared" si="3"/>
        <v>33446.235000000001</v>
      </c>
      <c r="G30" s="20">
        <v>33446.235000000001</v>
      </c>
      <c r="H30" s="63">
        <f t="shared" si="0"/>
        <v>3.156914858285436E-2</v>
      </c>
      <c r="K30" s="33"/>
      <c r="L30" s="33"/>
    </row>
    <row r="31" spans="1:12" ht="21.75" customHeight="1" outlineLevel="1" x14ac:dyDescent="0.25">
      <c r="B31" s="32" t="s">
        <v>63</v>
      </c>
      <c r="C31" s="21" t="s">
        <v>62</v>
      </c>
      <c r="D31" s="17" t="s">
        <v>91</v>
      </c>
      <c r="E31" s="18">
        <v>1</v>
      </c>
      <c r="F31" s="19">
        <f t="shared" si="3"/>
        <v>26188.985000000001</v>
      </c>
      <c r="G31" s="20">
        <v>26188.985000000001</v>
      </c>
      <c r="H31" s="63">
        <f t="shared" si="0"/>
        <v>2.4719193616236448E-2</v>
      </c>
      <c r="K31" s="33"/>
      <c r="L31" s="33"/>
    </row>
    <row r="32" spans="1:12" ht="21.75" customHeight="1" outlineLevel="1" x14ac:dyDescent="0.25">
      <c r="B32" s="32" t="s">
        <v>65</v>
      </c>
      <c r="C32" s="21" t="s">
        <v>64</v>
      </c>
      <c r="D32" s="17" t="s">
        <v>91</v>
      </c>
      <c r="E32" s="18">
        <v>1</v>
      </c>
      <c r="F32" s="19">
        <f t="shared" si="3"/>
        <v>16265</v>
      </c>
      <c r="G32" s="20">
        <v>16265</v>
      </c>
      <c r="H32" s="63">
        <f t="shared" si="0"/>
        <v>1.5352167492099668E-2</v>
      </c>
      <c r="K32" s="33"/>
      <c r="L32" s="33"/>
    </row>
    <row r="33" spans="1:12" ht="21.75" customHeight="1" outlineLevel="1" x14ac:dyDescent="0.25">
      <c r="B33" s="32" t="s">
        <v>67</v>
      </c>
      <c r="C33" s="21" t="s">
        <v>66</v>
      </c>
      <c r="D33" s="17" t="s">
        <v>91</v>
      </c>
      <c r="E33" s="18">
        <v>1</v>
      </c>
      <c r="F33" s="19">
        <f t="shared" si="3"/>
        <v>49149.03</v>
      </c>
      <c r="G33" s="20">
        <v>49149.03</v>
      </c>
      <c r="H33" s="63">
        <f t="shared" si="0"/>
        <v>4.6390663426635802E-2</v>
      </c>
      <c r="K33" s="33"/>
      <c r="L33" s="33"/>
    </row>
    <row r="34" spans="1:12" ht="21.75" customHeight="1" outlineLevel="1" x14ac:dyDescent="0.25">
      <c r="B34" s="32" t="s">
        <v>69</v>
      </c>
      <c r="C34" s="21" t="s">
        <v>68</v>
      </c>
      <c r="D34" s="17" t="s">
        <v>91</v>
      </c>
      <c r="E34" s="18">
        <v>1</v>
      </c>
      <c r="F34" s="19">
        <f t="shared" si="3"/>
        <v>30030</v>
      </c>
      <c r="G34" s="20">
        <v>30030</v>
      </c>
      <c r="H34" s="63">
        <f t="shared" si="0"/>
        <v>2.8344641241177561E-2</v>
      </c>
      <c r="K34" s="33"/>
      <c r="L34" s="33"/>
    </row>
    <row r="35" spans="1:12" ht="21.75" customHeight="1" outlineLevel="1" x14ac:dyDescent="0.25">
      <c r="B35" s="32" t="s">
        <v>70</v>
      </c>
      <c r="C35" s="21" t="s">
        <v>104</v>
      </c>
      <c r="D35" s="17" t="s">
        <v>91</v>
      </c>
      <c r="E35" s="18">
        <v>1</v>
      </c>
      <c r="F35" s="19">
        <f t="shared" si="3"/>
        <v>31850</v>
      </c>
      <c r="G35" s="20">
        <v>31850</v>
      </c>
      <c r="H35" s="63">
        <f t="shared" si="0"/>
        <v>3.0062498286097413E-2</v>
      </c>
      <c r="K35" s="33"/>
      <c r="L35" s="33"/>
    </row>
    <row r="36" spans="1:12" ht="21.75" customHeight="1" outlineLevel="1" x14ac:dyDescent="0.25">
      <c r="B36" s="32" t="s">
        <v>71</v>
      </c>
      <c r="C36" s="21" t="s">
        <v>105</v>
      </c>
      <c r="D36" s="17" t="s">
        <v>91</v>
      </c>
      <c r="E36" s="18">
        <v>1</v>
      </c>
      <c r="F36" s="19">
        <f t="shared" si="3"/>
        <v>25050</v>
      </c>
      <c r="G36" s="20">
        <v>25050</v>
      </c>
      <c r="H36" s="63">
        <f t="shared" si="0"/>
        <v>2.3644131305078187E-2</v>
      </c>
      <c r="K36" s="33"/>
      <c r="L36" s="33"/>
    </row>
    <row r="37" spans="1:12" ht="21.75" customHeight="1" outlineLevel="1" x14ac:dyDescent="0.25">
      <c r="B37" s="32" t="s">
        <v>73</v>
      </c>
      <c r="C37" s="21" t="s">
        <v>72</v>
      </c>
      <c r="D37" s="17" t="s">
        <v>91</v>
      </c>
      <c r="E37" s="18">
        <v>1</v>
      </c>
      <c r="F37" s="19">
        <f t="shared" si="3"/>
        <v>19250</v>
      </c>
      <c r="G37" s="20">
        <v>19250</v>
      </c>
      <c r="H37" s="63">
        <f t="shared" si="0"/>
        <v>1.8169641821267669E-2</v>
      </c>
      <c r="K37" s="33"/>
      <c r="L37" s="33"/>
    </row>
    <row r="38" spans="1:12" ht="21.75" customHeight="1" outlineLevel="1" x14ac:dyDescent="0.25">
      <c r="B38" s="32" t="s">
        <v>75</v>
      </c>
      <c r="C38" s="21" t="s">
        <v>74</v>
      </c>
      <c r="D38" s="17" t="s">
        <v>91</v>
      </c>
      <c r="E38" s="18">
        <v>1</v>
      </c>
      <c r="F38" s="19">
        <f t="shared" si="3"/>
        <v>27300</v>
      </c>
      <c r="G38" s="20">
        <v>27300</v>
      </c>
      <c r="H38" s="63">
        <f t="shared" si="0"/>
        <v>2.5767855673797784E-2</v>
      </c>
      <c r="K38" s="33"/>
      <c r="L38" s="33"/>
    </row>
    <row r="39" spans="1:12" ht="21.75" customHeight="1" outlineLevel="1" x14ac:dyDescent="0.25">
      <c r="B39" s="32" t="s">
        <v>77</v>
      </c>
      <c r="C39" s="21" t="s">
        <v>76</v>
      </c>
      <c r="D39" s="17" t="s">
        <v>91</v>
      </c>
      <c r="E39" s="18">
        <v>1</v>
      </c>
      <c r="F39" s="19">
        <f t="shared" si="3"/>
        <v>21052.525000000001</v>
      </c>
      <c r="G39" s="20">
        <v>21052.525000000001</v>
      </c>
      <c r="H39" s="63">
        <f t="shared" si="0"/>
        <v>1.9871004606923801E-2</v>
      </c>
      <c r="K39" s="33"/>
      <c r="L39" s="33"/>
    </row>
    <row r="40" spans="1:12" ht="21.75" customHeight="1" outlineLevel="1" x14ac:dyDescent="0.25">
      <c r="B40" s="32" t="s">
        <v>79</v>
      </c>
      <c r="C40" s="21" t="s">
        <v>78</v>
      </c>
      <c r="D40" s="17" t="s">
        <v>91</v>
      </c>
      <c r="E40" s="18">
        <v>1</v>
      </c>
      <c r="F40" s="19">
        <f t="shared" si="3"/>
        <v>18200</v>
      </c>
      <c r="G40" s="20">
        <v>18200</v>
      </c>
      <c r="H40" s="63">
        <f t="shared" si="0"/>
        <v>1.7178570449198523E-2</v>
      </c>
      <c r="K40" s="33"/>
      <c r="L40" s="33"/>
    </row>
    <row r="41" spans="1:12" ht="21.75" customHeight="1" outlineLevel="1" x14ac:dyDescent="0.25">
      <c r="B41" s="32" t="s">
        <v>81</v>
      </c>
      <c r="C41" s="21" t="s">
        <v>99</v>
      </c>
      <c r="D41" s="17" t="s">
        <v>91</v>
      </c>
      <c r="E41" s="18">
        <v>1</v>
      </c>
      <c r="F41" s="19">
        <f>G41/E41</f>
        <v>29461.040000000001</v>
      </c>
      <c r="G41" s="20">
        <v>29461.040000000001</v>
      </c>
      <c r="H41" s="63">
        <f t="shared" si="0"/>
        <v>2.7807612700365695E-2</v>
      </c>
      <c r="K41" s="33"/>
      <c r="L41" s="33"/>
    </row>
    <row r="42" spans="1:12" ht="21.75" customHeight="1" outlineLevel="1" x14ac:dyDescent="0.25">
      <c r="B42" s="32" t="s">
        <v>83</v>
      </c>
      <c r="C42" s="21" t="s">
        <v>80</v>
      </c>
      <c r="D42" s="17" t="s">
        <v>91</v>
      </c>
      <c r="E42" s="18">
        <v>1</v>
      </c>
      <c r="F42" s="19">
        <f t="shared" si="3"/>
        <v>26000</v>
      </c>
      <c r="G42" s="20">
        <v>26000</v>
      </c>
      <c r="H42" s="63">
        <f t="shared" si="0"/>
        <v>2.454081492742646E-2</v>
      </c>
      <c r="K42" s="33"/>
      <c r="L42" s="33"/>
    </row>
    <row r="43" spans="1:12" ht="21.75" customHeight="1" outlineLevel="1" x14ac:dyDescent="0.25">
      <c r="B43" s="32" t="s">
        <v>98</v>
      </c>
      <c r="C43" s="21" t="s">
        <v>82</v>
      </c>
      <c r="D43" s="17" t="s">
        <v>91</v>
      </c>
      <c r="E43" s="18">
        <v>1</v>
      </c>
      <c r="F43" s="19">
        <f t="shared" si="3"/>
        <v>19750.810000000001</v>
      </c>
      <c r="G43" s="20">
        <v>19750.810000000001</v>
      </c>
      <c r="H43" s="63">
        <f t="shared" si="0"/>
        <v>1.8642345110644762E-2</v>
      </c>
      <c r="K43" s="33"/>
      <c r="L43" s="33"/>
    </row>
    <row r="44" spans="1:12" ht="21.75" customHeight="1" outlineLevel="1" x14ac:dyDescent="0.25">
      <c r="B44" s="32" t="s">
        <v>100</v>
      </c>
      <c r="C44" s="21" t="s">
        <v>84</v>
      </c>
      <c r="D44" s="17" t="s">
        <v>91</v>
      </c>
      <c r="E44" s="18">
        <v>1</v>
      </c>
      <c r="F44" s="19">
        <f t="shared" si="3"/>
        <v>19575</v>
      </c>
      <c r="G44" s="20">
        <v>19575</v>
      </c>
      <c r="H44" s="63">
        <f t="shared" si="0"/>
        <v>1.84764020078605E-2</v>
      </c>
      <c r="K44" s="33"/>
      <c r="L44" s="33"/>
    </row>
    <row r="45" spans="1:12" ht="21.75" customHeight="1" x14ac:dyDescent="0.25">
      <c r="A45" s="1"/>
      <c r="B45" s="22"/>
      <c r="C45" s="23" t="s">
        <v>17</v>
      </c>
      <c r="D45" s="23"/>
      <c r="E45" s="24"/>
      <c r="F45" s="25"/>
      <c r="G45" s="29">
        <v>1059459.5198606374</v>
      </c>
      <c r="H45" s="25"/>
    </row>
    <row r="48" spans="1:12" x14ac:dyDescent="0.25">
      <c r="G48" s="14"/>
    </row>
    <row r="49" spans="7:7" x14ac:dyDescent="0.25">
      <c r="G49" s="14"/>
    </row>
  </sheetData>
  <autoFilter ref="B3:H45"/>
  <mergeCells count="1">
    <mergeCell ref="B1:H1"/>
  </mergeCells>
  <phoneticPr fontId="13" type="noConversion"/>
  <printOptions horizontalCentered="1"/>
  <pageMargins left="0.51181102362204722" right="0.51181102362204722" top="0.78740157480314965" bottom="0.78740157480314965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50"/>
  <sheetViews>
    <sheetView showGridLines="0" view="pageBreakPreview" zoomScale="40" zoomScaleNormal="70" zoomScaleSheetLayoutView="40" workbookViewId="0">
      <pane ySplit="2" topLeftCell="A3" activePane="bottomLeft" state="frozen"/>
      <selection activeCell="C23" sqref="C23"/>
      <selection pane="bottomLeft" activeCell="E73" sqref="E73"/>
    </sheetView>
  </sheetViews>
  <sheetFormatPr defaultRowHeight="12.75" outlineLevelRow="1" x14ac:dyDescent="0.25"/>
  <cols>
    <col min="1" max="1" width="4.85546875" style="15" customWidth="1"/>
    <col min="2" max="2" width="7.5703125" style="11" customWidth="1"/>
    <col min="3" max="3" width="50" style="1" customWidth="1"/>
    <col min="4" max="4" width="19.5703125" style="1" customWidth="1"/>
    <col min="5" max="5" width="12" style="1" customWidth="1"/>
    <col min="6" max="6" width="3.42578125" style="1" customWidth="1"/>
    <col min="7" max="7" width="18.7109375" style="1" customWidth="1"/>
    <col min="8" max="8" width="12.7109375" style="37" customWidth="1"/>
    <col min="9" max="9" width="18.7109375" style="1" customWidth="1"/>
    <col min="10" max="10" width="12.7109375" style="37" customWidth="1"/>
    <col min="11" max="11" width="18.7109375" style="1" customWidth="1"/>
    <col min="12" max="12" width="12.7109375" style="37" customWidth="1"/>
    <col min="13" max="13" width="18.7109375" style="1" customWidth="1"/>
    <col min="14" max="14" width="12.7109375" style="37" customWidth="1"/>
    <col min="15" max="15" width="18.7109375" style="1" customWidth="1"/>
    <col min="16" max="16" width="12.7109375" style="37" customWidth="1"/>
    <col min="17" max="17" width="18.7109375" style="1" customWidth="1"/>
    <col min="18" max="18" width="12.7109375" style="37" customWidth="1"/>
    <col min="19" max="19" width="18.7109375" style="1" customWidth="1"/>
    <col min="20" max="20" width="12.7109375" style="37" customWidth="1"/>
    <col min="21" max="21" width="18.7109375" style="1" customWidth="1"/>
    <col min="22" max="23" width="12.7109375" style="37" customWidth="1"/>
    <col min="24" max="16384" width="9.140625" style="1"/>
  </cols>
  <sheetData>
    <row r="1" spans="1:24" ht="95.25" customHeight="1" x14ac:dyDescent="0.25">
      <c r="B1" s="114" t="s">
        <v>106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"/>
    </row>
    <row r="2" spans="1:24" ht="24.75" customHeight="1" x14ac:dyDescent="0.25">
      <c r="B2" s="115" t="s">
        <v>107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36"/>
    </row>
    <row r="3" spans="1:24" ht="10.5" customHeight="1" x14ac:dyDescent="0.25">
      <c r="D3" s="12"/>
      <c r="E3" s="12"/>
    </row>
    <row r="4" spans="1:24" ht="31.5" customHeight="1" x14ac:dyDescent="0.25">
      <c r="B4" s="38" t="s">
        <v>20</v>
      </c>
      <c r="C4" s="38" t="s">
        <v>108</v>
      </c>
      <c r="D4" s="38" t="s">
        <v>22</v>
      </c>
      <c r="E4" s="38" t="s">
        <v>109</v>
      </c>
      <c r="F4" s="39"/>
      <c r="G4" s="116" t="s">
        <v>110</v>
      </c>
      <c r="H4" s="117"/>
      <c r="I4" s="116" t="s">
        <v>111</v>
      </c>
      <c r="J4" s="117"/>
      <c r="K4" s="116" t="s">
        <v>112</v>
      </c>
      <c r="L4" s="117"/>
      <c r="M4" s="116" t="s">
        <v>113</v>
      </c>
      <c r="N4" s="117"/>
      <c r="O4" s="116" t="s">
        <v>114</v>
      </c>
      <c r="P4" s="117"/>
      <c r="Q4" s="116" t="s">
        <v>115</v>
      </c>
      <c r="R4" s="117"/>
      <c r="S4" s="116" t="s">
        <v>116</v>
      </c>
      <c r="T4" s="117"/>
      <c r="U4" s="116" t="s">
        <v>117</v>
      </c>
      <c r="V4" s="117"/>
      <c r="W4" s="40" t="s">
        <v>17</v>
      </c>
    </row>
    <row r="5" spans="1:24" s="13" customFormat="1" ht="21.75" customHeight="1" x14ac:dyDescent="0.25">
      <c r="A5" s="16"/>
      <c r="B5" s="41">
        <v>1</v>
      </c>
      <c r="C5" s="42" t="s">
        <v>118</v>
      </c>
      <c r="D5" s="43">
        <f>SUM(D6:D9)</f>
        <v>262420.26</v>
      </c>
      <c r="E5" s="44">
        <f t="shared" ref="E5:E45" si="0">D5/$D$46</f>
        <v>0.24769257822565896</v>
      </c>
      <c r="F5" s="1"/>
      <c r="G5" s="45"/>
      <c r="H5" s="46"/>
      <c r="I5" s="45"/>
      <c r="J5" s="46"/>
      <c r="K5" s="45"/>
      <c r="L5" s="46"/>
      <c r="M5" s="45"/>
      <c r="N5" s="46"/>
      <c r="O5" s="45"/>
      <c r="P5" s="46"/>
      <c r="Q5" s="45"/>
      <c r="R5" s="46"/>
      <c r="S5" s="45"/>
      <c r="T5" s="46"/>
      <c r="U5" s="45"/>
      <c r="V5" s="46"/>
      <c r="W5" s="46"/>
      <c r="X5" s="47"/>
    </row>
    <row r="6" spans="1:24" outlineLevel="1" x14ac:dyDescent="0.25">
      <c r="B6" s="17" t="s">
        <v>0</v>
      </c>
      <c r="C6" s="21" t="str">
        <f>VLOOKUP('Cronograma Físico-Financeiro'!$B6,'Planilha Sintética'!B4:K45,2,0)</f>
        <v>Diagnóstico</v>
      </c>
      <c r="D6" s="48">
        <f>VLOOKUP('Cronograma Físico-Financeiro'!$B6,'Planilha Sintética'!B4:K45,6,0)</f>
        <v>31850</v>
      </c>
      <c r="E6" s="49">
        <f t="shared" si="0"/>
        <v>3.0062498286097413E-2</v>
      </c>
      <c r="G6" s="50">
        <f>$D6*H6</f>
        <v>0</v>
      </c>
      <c r="H6" s="49">
        <v>0</v>
      </c>
      <c r="I6" s="50">
        <f>$D6*J6</f>
        <v>25480</v>
      </c>
      <c r="J6" s="49">
        <v>0.8</v>
      </c>
      <c r="K6" s="50">
        <f>$D6*L6</f>
        <v>0</v>
      </c>
      <c r="L6" s="49">
        <v>0</v>
      </c>
      <c r="M6" s="50">
        <f>$D6*N6</f>
        <v>0</v>
      </c>
      <c r="N6" s="49">
        <v>0</v>
      </c>
      <c r="O6" s="50">
        <f>$D6*P6</f>
        <v>0</v>
      </c>
      <c r="P6" s="49">
        <v>0</v>
      </c>
      <c r="Q6" s="50">
        <f>$D6*R6</f>
        <v>0</v>
      </c>
      <c r="R6" s="49">
        <v>0</v>
      </c>
      <c r="S6" s="50">
        <f>$D6*T6</f>
        <v>0</v>
      </c>
      <c r="T6" s="49">
        <v>0</v>
      </c>
      <c r="U6" s="50">
        <f>$D6*V6</f>
        <v>6370</v>
      </c>
      <c r="V6" s="49">
        <v>0.2</v>
      </c>
      <c r="W6" s="49">
        <f>V6+T6+R6+P6+N6+L6+J6+H6</f>
        <v>1</v>
      </c>
    </row>
    <row r="7" spans="1:24" outlineLevel="1" x14ac:dyDescent="0.25">
      <c r="B7" s="17" t="s">
        <v>28</v>
      </c>
      <c r="C7" s="21" t="str">
        <f>VLOOKUP('Cronograma Físico-Financeiro'!$B7,'Planilha Sintética'!B5:K46,2,0)</f>
        <v>Viabilidade Técnica do Empreendimento</v>
      </c>
      <c r="D7" s="48">
        <f>VLOOKUP('Cronograma Físico-Financeiro'!$B7,'Planilha Sintética'!B5:K46,6,0)</f>
        <v>60000</v>
      </c>
      <c r="E7" s="49">
        <f t="shared" si="0"/>
        <v>5.66326498325226E-2</v>
      </c>
      <c r="G7" s="50">
        <f t="shared" ref="G7:G9" si="1">$D7*H7</f>
        <v>0</v>
      </c>
      <c r="H7" s="49">
        <v>0</v>
      </c>
      <c r="I7" s="50">
        <f t="shared" ref="I7:I9" si="2">$D7*J7</f>
        <v>0</v>
      </c>
      <c r="J7" s="49">
        <v>0</v>
      </c>
      <c r="K7" s="50">
        <f t="shared" ref="K7:K9" si="3">$D7*L7</f>
        <v>48000</v>
      </c>
      <c r="L7" s="49">
        <v>0.8</v>
      </c>
      <c r="M7" s="50">
        <f t="shared" ref="M7:M9" si="4">$D7*N7</f>
        <v>0</v>
      </c>
      <c r="N7" s="49">
        <v>0</v>
      </c>
      <c r="O7" s="50">
        <f t="shared" ref="O7:O9" si="5">$D7*P7</f>
        <v>0</v>
      </c>
      <c r="P7" s="49">
        <v>0</v>
      </c>
      <c r="Q7" s="50">
        <f t="shared" ref="Q7:Q9" si="6">$D7*R7</f>
        <v>0</v>
      </c>
      <c r="R7" s="49">
        <v>0</v>
      </c>
      <c r="S7" s="50">
        <f t="shared" ref="S7:S9" si="7">$D7*T7</f>
        <v>0</v>
      </c>
      <c r="T7" s="49">
        <v>0</v>
      </c>
      <c r="U7" s="50">
        <f t="shared" ref="U7:U9" si="8">$D7*V7</f>
        <v>12000</v>
      </c>
      <c r="V7" s="49">
        <v>0.2</v>
      </c>
      <c r="W7" s="49">
        <f t="shared" ref="W7:W9" si="9">V7+T7+R7+P7+N7+L7+J7+H7</f>
        <v>1</v>
      </c>
    </row>
    <row r="8" spans="1:24" outlineLevel="1" x14ac:dyDescent="0.25">
      <c r="B8" s="17" t="s">
        <v>29</v>
      </c>
      <c r="C8" s="21" t="str">
        <f>VLOOKUP('Cronograma Físico-Financeiro'!$B8,'Planilha Sintética'!B6:K47,2,0)</f>
        <v>Concepção Arquitetônica</v>
      </c>
      <c r="D8" s="48">
        <f>VLOOKUP('Cronograma Físico-Financeiro'!$B8,'Planilha Sintética'!B6:K47,6,0)</f>
        <v>111570.26</v>
      </c>
      <c r="E8" s="49">
        <f t="shared" si="0"/>
        <v>0.10530865777172504</v>
      </c>
      <c r="G8" s="50">
        <f t="shared" si="1"/>
        <v>0</v>
      </c>
      <c r="H8" s="49">
        <v>0</v>
      </c>
      <c r="I8" s="50">
        <f t="shared" si="2"/>
        <v>0</v>
      </c>
      <c r="J8" s="49">
        <v>0</v>
      </c>
      <c r="K8" s="50">
        <f t="shared" si="3"/>
        <v>0</v>
      </c>
      <c r="L8" s="49">
        <v>0</v>
      </c>
      <c r="M8" s="50">
        <f t="shared" si="4"/>
        <v>89256.207999999999</v>
      </c>
      <c r="N8" s="49">
        <v>0.8</v>
      </c>
      <c r="O8" s="50">
        <f t="shared" si="5"/>
        <v>0</v>
      </c>
      <c r="P8" s="49">
        <v>0</v>
      </c>
      <c r="Q8" s="50">
        <f t="shared" si="6"/>
        <v>0</v>
      </c>
      <c r="R8" s="49">
        <v>0</v>
      </c>
      <c r="S8" s="50">
        <f t="shared" si="7"/>
        <v>0</v>
      </c>
      <c r="T8" s="49">
        <v>0</v>
      </c>
      <c r="U8" s="50">
        <f t="shared" si="8"/>
        <v>22314.052</v>
      </c>
      <c r="V8" s="49">
        <v>0.2</v>
      </c>
      <c r="W8" s="49">
        <f t="shared" si="9"/>
        <v>1</v>
      </c>
    </row>
    <row r="9" spans="1:24" outlineLevel="1" x14ac:dyDescent="0.25">
      <c r="B9" s="17" t="s">
        <v>30</v>
      </c>
      <c r="C9" s="21" t="str">
        <f>VLOOKUP('Cronograma Físico-Financeiro'!$B9,'Planilha Sintética'!B7:K48,2,0)</f>
        <v>Soluções de Engenharia</v>
      </c>
      <c r="D9" s="48">
        <f>VLOOKUP('Cronograma Físico-Financeiro'!$B9,'Planilha Sintética'!B7:K48,6,0)</f>
        <v>59000</v>
      </c>
      <c r="E9" s="49">
        <f t="shared" si="0"/>
        <v>5.5688772335313892E-2</v>
      </c>
      <c r="G9" s="50">
        <f t="shared" si="1"/>
        <v>0</v>
      </c>
      <c r="H9" s="49">
        <v>0</v>
      </c>
      <c r="I9" s="50">
        <f t="shared" si="2"/>
        <v>0</v>
      </c>
      <c r="J9" s="49">
        <v>0</v>
      </c>
      <c r="K9" s="50">
        <f t="shared" si="3"/>
        <v>0</v>
      </c>
      <c r="L9" s="49">
        <v>0</v>
      </c>
      <c r="M9" s="50">
        <f t="shared" si="4"/>
        <v>0</v>
      </c>
      <c r="N9" s="49">
        <v>0</v>
      </c>
      <c r="O9" s="50">
        <f t="shared" si="5"/>
        <v>47200</v>
      </c>
      <c r="P9" s="49">
        <v>0.8</v>
      </c>
      <c r="Q9" s="50">
        <f t="shared" si="6"/>
        <v>0</v>
      </c>
      <c r="R9" s="49">
        <v>0</v>
      </c>
      <c r="S9" s="50">
        <f t="shared" si="7"/>
        <v>0</v>
      </c>
      <c r="T9" s="49">
        <v>0</v>
      </c>
      <c r="U9" s="50">
        <f t="shared" si="8"/>
        <v>11800</v>
      </c>
      <c r="V9" s="49">
        <v>0.2</v>
      </c>
      <c r="W9" s="49">
        <f t="shared" si="9"/>
        <v>1</v>
      </c>
    </row>
    <row r="10" spans="1:24" s="13" customFormat="1" ht="21.75" customHeight="1" x14ac:dyDescent="0.25">
      <c r="A10" s="16"/>
      <c r="B10" s="41">
        <v>2</v>
      </c>
      <c r="C10" s="42" t="s">
        <v>27</v>
      </c>
      <c r="D10" s="43">
        <f>SUM(D11)</f>
        <v>12800.09</v>
      </c>
      <c r="E10" s="44">
        <f t="shared" si="0"/>
        <v>1.2081716913246237E-2</v>
      </c>
      <c r="F10" s="1"/>
      <c r="G10" s="45"/>
      <c r="H10" s="46"/>
      <c r="I10" s="45"/>
      <c r="J10" s="46"/>
      <c r="K10" s="45"/>
      <c r="L10" s="46"/>
      <c r="M10" s="45"/>
      <c r="N10" s="46"/>
      <c r="O10" s="45"/>
      <c r="P10" s="46"/>
      <c r="Q10" s="45"/>
      <c r="R10" s="46"/>
      <c r="S10" s="45"/>
      <c r="T10" s="46"/>
      <c r="U10" s="45"/>
      <c r="V10" s="46"/>
      <c r="W10" s="46"/>
      <c r="X10" s="47"/>
    </row>
    <row r="11" spans="1:24" outlineLevel="1" x14ac:dyDescent="0.25">
      <c r="B11" s="17" t="s">
        <v>1</v>
      </c>
      <c r="C11" s="21" t="str">
        <f>VLOOKUP('Cronograma Físico-Financeiro'!$B11,'Planilha Sintética'!B9:K50,2,0)</f>
        <v>Levantamento topográfico planialtimétrico</v>
      </c>
      <c r="D11" s="48">
        <f>VLOOKUP('Cronograma Físico-Financeiro'!$B11,'Planilha Sintética'!B9:K50,6,0)</f>
        <v>12800.09</v>
      </c>
      <c r="E11" s="49">
        <f t="shared" si="0"/>
        <v>1.2081716913246237E-2</v>
      </c>
      <c r="G11" s="50">
        <f>$D11*H11</f>
        <v>10240.072</v>
      </c>
      <c r="H11" s="49">
        <v>0.8</v>
      </c>
      <c r="I11" s="50">
        <f>$D11*J11</f>
        <v>0</v>
      </c>
      <c r="J11" s="49">
        <v>0</v>
      </c>
      <c r="K11" s="50">
        <f>$D11*L11</f>
        <v>0</v>
      </c>
      <c r="L11" s="49">
        <v>0</v>
      </c>
      <c r="M11" s="50">
        <f>$D11*N11</f>
        <v>0</v>
      </c>
      <c r="N11" s="49">
        <v>0</v>
      </c>
      <c r="O11" s="50">
        <f>$D11*P11</f>
        <v>0</v>
      </c>
      <c r="P11" s="49">
        <v>0</v>
      </c>
      <c r="Q11" s="50">
        <f>$D11*R11</f>
        <v>0</v>
      </c>
      <c r="R11" s="49">
        <v>0</v>
      </c>
      <c r="S11" s="50">
        <f>$D11*T11</f>
        <v>0</v>
      </c>
      <c r="T11" s="49">
        <v>0</v>
      </c>
      <c r="U11" s="50">
        <f>$D11*V11</f>
        <v>2560.018</v>
      </c>
      <c r="V11" s="49">
        <v>0.2</v>
      </c>
      <c r="W11" s="49">
        <f>V11+T11+R11+P11+N11+L11+J11+H11</f>
        <v>1</v>
      </c>
    </row>
    <row r="12" spans="1:24" s="13" customFormat="1" ht="21.75" customHeight="1" x14ac:dyDescent="0.25">
      <c r="A12" s="16"/>
      <c r="B12" s="41">
        <v>3</v>
      </c>
      <c r="C12" s="42" t="s">
        <v>119</v>
      </c>
      <c r="D12" s="43">
        <f>SUM(D13:D23)</f>
        <v>87857.199860637396</v>
      </c>
      <c r="E12" s="44">
        <f t="shared" si="0"/>
        <v>8.2926433916223855E-2</v>
      </c>
      <c r="F12" s="1"/>
      <c r="G12" s="45"/>
      <c r="H12" s="46"/>
      <c r="I12" s="45"/>
      <c r="J12" s="46"/>
      <c r="K12" s="45"/>
      <c r="L12" s="46"/>
      <c r="M12" s="45"/>
      <c r="N12" s="46"/>
      <c r="O12" s="45"/>
      <c r="P12" s="46"/>
      <c r="Q12" s="45"/>
      <c r="R12" s="46"/>
      <c r="S12" s="45"/>
      <c r="T12" s="46"/>
      <c r="U12" s="45"/>
      <c r="V12" s="46"/>
      <c r="W12" s="46"/>
      <c r="X12" s="47"/>
    </row>
    <row r="13" spans="1:24" ht="21.75" customHeight="1" outlineLevel="1" x14ac:dyDescent="0.25">
      <c r="B13" s="51" t="s">
        <v>23</v>
      </c>
      <c r="C13" s="21" t="str">
        <f>VLOOKUP('Cronograma Físico-Financeiro'!$B13,'Planilha Sintética'!B11:K52,2,0)</f>
        <v>Sondagem a percussão (SPT)</v>
      </c>
      <c r="D13" s="48">
        <f>VLOOKUP('Cronograma Físico-Financeiro'!$B13,'Planilha Sintética'!B11:K52,6,0)</f>
        <v>45774.164289096414</v>
      </c>
      <c r="E13" s="49">
        <f t="shared" si="0"/>
        <v>4.3205203626012635E-2</v>
      </c>
      <c r="G13" s="50">
        <f t="shared" ref="G13:G23" si="10">$D13*H13</f>
        <v>0</v>
      </c>
      <c r="H13" s="49">
        <v>0</v>
      </c>
      <c r="I13" s="50">
        <f t="shared" ref="I13:I23" si="11">$D13*J13</f>
        <v>0</v>
      </c>
      <c r="J13" s="49">
        <v>0</v>
      </c>
      <c r="K13" s="50">
        <f t="shared" ref="K13:K23" si="12">$D13*L13</f>
        <v>36619.331431277133</v>
      </c>
      <c r="L13" s="49">
        <v>0.8</v>
      </c>
      <c r="M13" s="50">
        <f t="shared" ref="M13:M23" si="13">$D13*N13</f>
        <v>0</v>
      </c>
      <c r="N13" s="49">
        <v>0</v>
      </c>
      <c r="O13" s="50">
        <f t="shared" ref="O13:O23" si="14">$D13*P13</f>
        <v>0</v>
      </c>
      <c r="P13" s="49">
        <v>0</v>
      </c>
      <c r="Q13" s="50">
        <f t="shared" ref="Q13:Q23" si="15">$D13*R13</f>
        <v>0</v>
      </c>
      <c r="R13" s="49">
        <v>0</v>
      </c>
      <c r="S13" s="50">
        <f t="shared" ref="S13:S23" si="16">$D13*T13</f>
        <v>0</v>
      </c>
      <c r="T13" s="49">
        <v>0</v>
      </c>
      <c r="U13" s="50">
        <f t="shared" ref="U13:U23" si="17">$D13*V13</f>
        <v>9154.8328578192832</v>
      </c>
      <c r="V13" s="49">
        <v>0.2</v>
      </c>
      <c r="W13" s="49">
        <f t="shared" ref="W13:W23" si="18">V13+T13+R13+P13+N13+L13+J13+H13</f>
        <v>1</v>
      </c>
    </row>
    <row r="14" spans="1:24" ht="21.75" customHeight="1" outlineLevel="1" x14ac:dyDescent="0.25">
      <c r="B14" s="51" t="s">
        <v>24</v>
      </c>
      <c r="C14" s="21" t="str">
        <f>VLOOKUP('Cronograma Físico-Financeiro'!$B14,'Planilha Sintética'!B12:K53,2,0)</f>
        <v>Sondagem a trado (ST)</v>
      </c>
      <c r="D14" s="48">
        <f>VLOOKUP('Cronograma Físico-Financeiro'!$B14,'Planilha Sintética'!B12:K53,6,0)</f>
        <v>2678.4337309729972</v>
      </c>
      <c r="E14" s="49">
        <f t="shared" si="0"/>
        <v>2.52811332643018E-3</v>
      </c>
      <c r="G14" s="50">
        <f t="shared" si="10"/>
        <v>0</v>
      </c>
      <c r="H14" s="49">
        <v>0</v>
      </c>
      <c r="I14" s="50">
        <f t="shared" si="11"/>
        <v>0</v>
      </c>
      <c r="J14" s="49">
        <v>0</v>
      </c>
      <c r="K14" s="50">
        <f t="shared" si="12"/>
        <v>2142.7469847783977</v>
      </c>
      <c r="L14" s="49">
        <v>0.8</v>
      </c>
      <c r="M14" s="50">
        <f t="shared" si="13"/>
        <v>0</v>
      </c>
      <c r="N14" s="49">
        <v>0</v>
      </c>
      <c r="O14" s="50">
        <f t="shared" si="14"/>
        <v>0</v>
      </c>
      <c r="P14" s="49">
        <v>0</v>
      </c>
      <c r="Q14" s="50">
        <f t="shared" si="15"/>
        <v>0</v>
      </c>
      <c r="R14" s="49">
        <v>0</v>
      </c>
      <c r="S14" s="50">
        <f t="shared" si="16"/>
        <v>0</v>
      </c>
      <c r="T14" s="49">
        <v>0</v>
      </c>
      <c r="U14" s="50">
        <f t="shared" si="17"/>
        <v>535.68674619459944</v>
      </c>
      <c r="V14" s="49">
        <v>0.2</v>
      </c>
      <c r="W14" s="49">
        <f t="shared" si="18"/>
        <v>1</v>
      </c>
    </row>
    <row r="15" spans="1:24" ht="21.75" customHeight="1" outlineLevel="1" x14ac:dyDescent="0.25">
      <c r="B15" s="51" t="s">
        <v>38</v>
      </c>
      <c r="C15" s="21" t="str">
        <f>VLOOKUP('Cronograma Físico-Financeiro'!$B15,'Planilha Sintética'!B13:K54,2,0)</f>
        <v>Ensaio de umidade "in situ"</v>
      </c>
      <c r="D15" s="48">
        <f>VLOOKUP('Cronograma Físico-Financeiro'!$B15,'Planilha Sintética'!B13:K54,6,0)</f>
        <v>3338.0369847783977</v>
      </c>
      <c r="E15" s="49">
        <f t="shared" si="0"/>
        <v>3.1506979947827428E-3</v>
      </c>
      <c r="G15" s="50">
        <f t="shared" si="10"/>
        <v>0</v>
      </c>
      <c r="H15" s="49">
        <v>0</v>
      </c>
      <c r="I15" s="50">
        <f t="shared" si="11"/>
        <v>0</v>
      </c>
      <c r="J15" s="49">
        <v>0</v>
      </c>
      <c r="K15" s="50">
        <f t="shared" si="12"/>
        <v>2670.4295878227185</v>
      </c>
      <c r="L15" s="49">
        <v>0.8</v>
      </c>
      <c r="M15" s="50">
        <f t="shared" si="13"/>
        <v>0</v>
      </c>
      <c r="N15" s="49">
        <v>0</v>
      </c>
      <c r="O15" s="50">
        <f t="shared" si="14"/>
        <v>0</v>
      </c>
      <c r="P15" s="49">
        <v>0</v>
      </c>
      <c r="Q15" s="50">
        <f t="shared" si="15"/>
        <v>0</v>
      </c>
      <c r="R15" s="49">
        <v>0</v>
      </c>
      <c r="S15" s="50">
        <f t="shared" si="16"/>
        <v>0</v>
      </c>
      <c r="T15" s="49">
        <v>0</v>
      </c>
      <c r="U15" s="50">
        <f t="shared" si="17"/>
        <v>667.60739695567963</v>
      </c>
      <c r="V15" s="49">
        <v>0.2</v>
      </c>
      <c r="W15" s="49">
        <f t="shared" si="18"/>
        <v>1</v>
      </c>
    </row>
    <row r="16" spans="1:24" ht="21.75" customHeight="1" outlineLevel="1" x14ac:dyDescent="0.25">
      <c r="B16" s="51" t="s">
        <v>40</v>
      </c>
      <c r="C16" s="21" t="str">
        <f>VLOOKUP('Cronograma Físico-Financeiro'!$B16,'Planilha Sintética'!B14:K55,2,0)</f>
        <v>Ensaio de massa específica "in situ"</v>
      </c>
      <c r="D16" s="48">
        <f>VLOOKUP('Cronograma Físico-Financeiro'!$B16,'Planilha Sintética'!B14:K55,6,0)</f>
        <v>4143.66</v>
      </c>
      <c r="E16" s="49">
        <f t="shared" si="0"/>
        <v>3.9111074300838431E-3</v>
      </c>
      <c r="G16" s="50">
        <f t="shared" si="10"/>
        <v>0</v>
      </c>
      <c r="H16" s="49">
        <v>0</v>
      </c>
      <c r="I16" s="50">
        <f t="shared" si="11"/>
        <v>0</v>
      </c>
      <c r="J16" s="49">
        <v>0</v>
      </c>
      <c r="K16" s="50">
        <f t="shared" si="12"/>
        <v>3314.9279999999999</v>
      </c>
      <c r="L16" s="49">
        <v>0.8</v>
      </c>
      <c r="M16" s="50">
        <f t="shared" si="13"/>
        <v>0</v>
      </c>
      <c r="N16" s="49">
        <v>0</v>
      </c>
      <c r="O16" s="50">
        <f t="shared" si="14"/>
        <v>0</v>
      </c>
      <c r="P16" s="49">
        <v>0</v>
      </c>
      <c r="Q16" s="50">
        <f t="shared" si="15"/>
        <v>0</v>
      </c>
      <c r="R16" s="49">
        <v>0</v>
      </c>
      <c r="S16" s="50">
        <f t="shared" si="16"/>
        <v>0</v>
      </c>
      <c r="T16" s="49">
        <v>0</v>
      </c>
      <c r="U16" s="50">
        <f t="shared" si="17"/>
        <v>828.73199999999997</v>
      </c>
      <c r="V16" s="49">
        <v>0.2</v>
      </c>
      <c r="W16" s="49">
        <f t="shared" si="18"/>
        <v>1</v>
      </c>
    </row>
    <row r="17" spans="1:24" ht="21.75" customHeight="1" outlineLevel="1" x14ac:dyDescent="0.25">
      <c r="B17" s="51" t="s">
        <v>42</v>
      </c>
      <c r="C17" s="21" t="str">
        <f>VLOOKUP('Cronograma Físico-Financeiro'!$B17,'Planilha Sintética'!B15:K56,2,0)</f>
        <v>Ensaio de granulometria por sedimentação</v>
      </c>
      <c r="D17" s="48">
        <f>VLOOKUP('Cronograma Físico-Financeiro'!$B17,'Planilha Sintética'!B15:K56,6,0)</f>
        <v>2877.5314815649685</v>
      </c>
      <c r="E17" s="49">
        <f t="shared" si="0"/>
        <v>2.7160372129588139E-3</v>
      </c>
      <c r="G17" s="50">
        <f t="shared" si="10"/>
        <v>0</v>
      </c>
      <c r="H17" s="49">
        <v>0</v>
      </c>
      <c r="I17" s="50">
        <f t="shared" si="11"/>
        <v>0</v>
      </c>
      <c r="J17" s="49">
        <v>0</v>
      </c>
      <c r="K17" s="50">
        <f t="shared" si="12"/>
        <v>2302.025185251975</v>
      </c>
      <c r="L17" s="49">
        <v>0.8</v>
      </c>
      <c r="M17" s="50">
        <f t="shared" si="13"/>
        <v>0</v>
      </c>
      <c r="N17" s="49">
        <v>0</v>
      </c>
      <c r="O17" s="50">
        <f t="shared" si="14"/>
        <v>0</v>
      </c>
      <c r="P17" s="49">
        <v>0</v>
      </c>
      <c r="Q17" s="50">
        <f t="shared" si="15"/>
        <v>0</v>
      </c>
      <c r="R17" s="49">
        <v>0</v>
      </c>
      <c r="S17" s="50">
        <f t="shared" si="16"/>
        <v>0</v>
      </c>
      <c r="T17" s="49">
        <v>0</v>
      </c>
      <c r="U17" s="50">
        <f t="shared" si="17"/>
        <v>575.50629631299375</v>
      </c>
      <c r="V17" s="49">
        <v>0.2</v>
      </c>
      <c r="W17" s="49">
        <f t="shared" si="18"/>
        <v>1</v>
      </c>
    </row>
    <row r="18" spans="1:24" ht="21.75" customHeight="1" outlineLevel="1" x14ac:dyDescent="0.25">
      <c r="B18" s="51" t="s">
        <v>43</v>
      </c>
      <c r="C18" s="21" t="str">
        <f>VLOOKUP('Cronograma Físico-Financeiro'!$B18,'Planilha Sintética'!B16:K57,2,0)</f>
        <v>Ensaio de granulometria por peneiramento</v>
      </c>
      <c r="D18" s="48">
        <f>VLOOKUP('Cronograma Físico-Financeiro'!$B18,'Planilha Sintética'!B16:K57,6,0)</f>
        <v>2926.5809881609757</v>
      </c>
      <c r="E18" s="49">
        <f t="shared" si="0"/>
        <v>2.7623339384839751E-3</v>
      </c>
      <c r="G18" s="50">
        <f t="shared" si="10"/>
        <v>0</v>
      </c>
      <c r="H18" s="49">
        <v>0</v>
      </c>
      <c r="I18" s="50">
        <f t="shared" si="11"/>
        <v>0</v>
      </c>
      <c r="J18" s="49">
        <v>0</v>
      </c>
      <c r="K18" s="50">
        <f t="shared" si="12"/>
        <v>2341.2647905287808</v>
      </c>
      <c r="L18" s="49">
        <v>0.8</v>
      </c>
      <c r="M18" s="50">
        <f t="shared" si="13"/>
        <v>0</v>
      </c>
      <c r="N18" s="49">
        <v>0</v>
      </c>
      <c r="O18" s="50">
        <f t="shared" si="14"/>
        <v>0</v>
      </c>
      <c r="P18" s="49">
        <v>0</v>
      </c>
      <c r="Q18" s="50">
        <f t="shared" si="15"/>
        <v>0</v>
      </c>
      <c r="R18" s="49">
        <v>0</v>
      </c>
      <c r="S18" s="50">
        <f t="shared" si="16"/>
        <v>0</v>
      </c>
      <c r="T18" s="49">
        <v>0</v>
      </c>
      <c r="U18" s="50">
        <f t="shared" si="17"/>
        <v>585.31619763219521</v>
      </c>
      <c r="V18" s="49">
        <v>0.2</v>
      </c>
      <c r="W18" s="49">
        <f t="shared" si="18"/>
        <v>1</v>
      </c>
    </row>
    <row r="19" spans="1:24" ht="21.75" customHeight="1" outlineLevel="1" x14ac:dyDescent="0.25">
      <c r="B19" s="51" t="s">
        <v>45</v>
      </c>
      <c r="C19" s="21" t="str">
        <f>VLOOKUP('Cronograma Físico-Financeiro'!$B19,'Planilha Sintética'!B17:K58,2,0)</f>
        <v>Ensaio de massa específica dos grãos</v>
      </c>
      <c r="D19" s="48">
        <f>VLOOKUP('Cronograma Físico-Financeiro'!$B19,'Planilha Sintética'!B17:K58,6,0)</f>
        <v>2549.94</v>
      </c>
      <c r="E19" s="49">
        <f t="shared" si="0"/>
        <v>2.4068309852323779E-3</v>
      </c>
      <c r="G19" s="50">
        <f t="shared" si="10"/>
        <v>0</v>
      </c>
      <c r="H19" s="49">
        <v>0</v>
      </c>
      <c r="I19" s="50">
        <f t="shared" si="11"/>
        <v>0</v>
      </c>
      <c r="J19" s="49">
        <v>0</v>
      </c>
      <c r="K19" s="50">
        <f t="shared" si="12"/>
        <v>2039.9520000000002</v>
      </c>
      <c r="L19" s="49">
        <v>0.8</v>
      </c>
      <c r="M19" s="50">
        <f t="shared" si="13"/>
        <v>0</v>
      </c>
      <c r="N19" s="49">
        <v>0</v>
      </c>
      <c r="O19" s="50">
        <f t="shared" si="14"/>
        <v>0</v>
      </c>
      <c r="P19" s="49">
        <v>0</v>
      </c>
      <c r="Q19" s="50">
        <f t="shared" si="15"/>
        <v>0</v>
      </c>
      <c r="R19" s="49">
        <v>0</v>
      </c>
      <c r="S19" s="50">
        <f t="shared" si="16"/>
        <v>0</v>
      </c>
      <c r="T19" s="49">
        <v>0</v>
      </c>
      <c r="U19" s="50">
        <f t="shared" si="17"/>
        <v>509.98800000000006</v>
      </c>
      <c r="V19" s="49">
        <v>0.2</v>
      </c>
      <c r="W19" s="49">
        <f t="shared" si="18"/>
        <v>1</v>
      </c>
    </row>
    <row r="20" spans="1:24" ht="21.75" customHeight="1" outlineLevel="1" x14ac:dyDescent="0.25">
      <c r="B20" s="51" t="s">
        <v>47</v>
      </c>
      <c r="C20" s="21" t="str">
        <f>VLOOKUP('Cronograma Físico-Financeiro'!$B20,'Planilha Sintética'!B18:K59,2,0)</f>
        <v>Ensaio de limite de liquidez (LL)</v>
      </c>
      <c r="D20" s="48">
        <f>VLOOKUP('Cronograma Físico-Financeiro'!$B20,'Planilha Sintética'!B18:K59,6,0)</f>
        <v>2455.29</v>
      </c>
      <c r="E20" s="49">
        <f t="shared" si="0"/>
        <v>2.3174929801215737E-3</v>
      </c>
      <c r="G20" s="50">
        <f t="shared" si="10"/>
        <v>0</v>
      </c>
      <c r="H20" s="49">
        <v>0</v>
      </c>
      <c r="I20" s="50">
        <f t="shared" si="11"/>
        <v>0</v>
      </c>
      <c r="J20" s="49">
        <v>0</v>
      </c>
      <c r="K20" s="50">
        <f t="shared" si="12"/>
        <v>1964.232</v>
      </c>
      <c r="L20" s="49">
        <v>0.8</v>
      </c>
      <c r="M20" s="50">
        <f t="shared" si="13"/>
        <v>0</v>
      </c>
      <c r="N20" s="49">
        <v>0</v>
      </c>
      <c r="O20" s="50">
        <f t="shared" si="14"/>
        <v>0</v>
      </c>
      <c r="P20" s="49">
        <v>0</v>
      </c>
      <c r="Q20" s="50">
        <f t="shared" si="15"/>
        <v>0</v>
      </c>
      <c r="R20" s="49">
        <v>0</v>
      </c>
      <c r="S20" s="50">
        <f t="shared" si="16"/>
        <v>0</v>
      </c>
      <c r="T20" s="49">
        <v>0</v>
      </c>
      <c r="U20" s="50">
        <f t="shared" si="17"/>
        <v>491.05799999999999</v>
      </c>
      <c r="V20" s="49">
        <v>0.2</v>
      </c>
      <c r="W20" s="49">
        <f t="shared" si="18"/>
        <v>1</v>
      </c>
    </row>
    <row r="21" spans="1:24" ht="21.75" customHeight="1" outlineLevel="1" x14ac:dyDescent="0.25">
      <c r="B21" s="51" t="s">
        <v>49</v>
      </c>
      <c r="C21" s="21" t="str">
        <f>VLOOKUP('Cronograma Físico-Financeiro'!$B21,'Planilha Sintética'!B19:K60,2,0)</f>
        <v>Ensaio de limite de plasticidade (LP)</v>
      </c>
      <c r="D21" s="48">
        <f>VLOOKUP('Cronograma Físico-Financeiro'!$B21,'Planilha Sintética'!B19:K60,6,0)</f>
        <v>2455.29</v>
      </c>
      <c r="E21" s="49">
        <f t="shared" si="0"/>
        <v>2.3174929801215737E-3</v>
      </c>
      <c r="G21" s="50">
        <f t="shared" si="10"/>
        <v>0</v>
      </c>
      <c r="H21" s="49">
        <v>0</v>
      </c>
      <c r="I21" s="50">
        <f t="shared" si="11"/>
        <v>0</v>
      </c>
      <c r="J21" s="49">
        <v>0</v>
      </c>
      <c r="K21" s="50">
        <f t="shared" si="12"/>
        <v>1964.232</v>
      </c>
      <c r="L21" s="49">
        <v>0.8</v>
      </c>
      <c r="M21" s="50">
        <f t="shared" si="13"/>
        <v>0</v>
      </c>
      <c r="N21" s="49">
        <v>0</v>
      </c>
      <c r="O21" s="50">
        <f t="shared" si="14"/>
        <v>0</v>
      </c>
      <c r="P21" s="49">
        <v>0</v>
      </c>
      <c r="Q21" s="50">
        <f t="shared" si="15"/>
        <v>0</v>
      </c>
      <c r="R21" s="49">
        <v>0</v>
      </c>
      <c r="S21" s="50">
        <f t="shared" si="16"/>
        <v>0</v>
      </c>
      <c r="T21" s="49">
        <v>0</v>
      </c>
      <c r="U21" s="50">
        <f t="shared" si="17"/>
        <v>491.05799999999999</v>
      </c>
      <c r="V21" s="49">
        <v>0.2</v>
      </c>
      <c r="W21" s="49">
        <f t="shared" si="18"/>
        <v>1</v>
      </c>
    </row>
    <row r="22" spans="1:24" ht="21.75" customHeight="1" outlineLevel="1" x14ac:dyDescent="0.25">
      <c r="B22" s="51" t="s">
        <v>51</v>
      </c>
      <c r="C22" s="21" t="str">
        <f>VLOOKUP('Cronograma Físico-Financeiro'!$B22,'Planilha Sintética'!B20:K61,2,0)</f>
        <v>Ensaio de compactação, índice suporte Califórnia (ISC) e expansão na energia normal</v>
      </c>
      <c r="D22" s="48">
        <f>VLOOKUP('Cronograma Físico-Financeiro'!$B22,'Planilha Sintética'!B20:K61,6,0)</f>
        <v>8218.2723860636506</v>
      </c>
      <c r="E22" s="49">
        <f t="shared" si="0"/>
        <v>7.7570423711372117E-3</v>
      </c>
      <c r="G22" s="50">
        <f t="shared" si="10"/>
        <v>0</v>
      </c>
      <c r="H22" s="49">
        <v>0</v>
      </c>
      <c r="I22" s="50">
        <f t="shared" si="11"/>
        <v>0</v>
      </c>
      <c r="J22" s="49">
        <v>0</v>
      </c>
      <c r="K22" s="50">
        <f t="shared" si="12"/>
        <v>6574.6179088509207</v>
      </c>
      <c r="L22" s="49">
        <v>0.8</v>
      </c>
      <c r="M22" s="50">
        <f t="shared" si="13"/>
        <v>0</v>
      </c>
      <c r="N22" s="49">
        <v>0</v>
      </c>
      <c r="O22" s="50">
        <f t="shared" si="14"/>
        <v>0</v>
      </c>
      <c r="P22" s="49">
        <v>0</v>
      </c>
      <c r="Q22" s="50">
        <f t="shared" si="15"/>
        <v>0</v>
      </c>
      <c r="R22" s="49">
        <v>0</v>
      </c>
      <c r="S22" s="50">
        <f t="shared" si="16"/>
        <v>0</v>
      </c>
      <c r="T22" s="49">
        <v>0</v>
      </c>
      <c r="U22" s="50">
        <f t="shared" si="17"/>
        <v>1643.6544772127302</v>
      </c>
      <c r="V22" s="49">
        <v>0.2</v>
      </c>
      <c r="W22" s="49">
        <f t="shared" si="18"/>
        <v>1</v>
      </c>
    </row>
    <row r="23" spans="1:24" ht="21.75" customHeight="1" outlineLevel="1" x14ac:dyDescent="0.25">
      <c r="B23" s="51" t="s">
        <v>53</v>
      </c>
      <c r="C23" s="21" t="str">
        <f>VLOOKUP('Cronograma Físico-Financeiro'!$B23,'Planilha Sintética'!B21:K62,2,0)</f>
        <v>Ensaio de compressão triaxial</v>
      </c>
      <c r="D23" s="48">
        <f>VLOOKUP('Cronograma Físico-Financeiro'!$B23,'Planilha Sintética'!B21:K62,6,0)</f>
        <v>10440</v>
      </c>
      <c r="E23" s="49">
        <f t="shared" si="0"/>
        <v>9.8540810708589322E-3</v>
      </c>
      <c r="G23" s="50">
        <f t="shared" si="10"/>
        <v>0</v>
      </c>
      <c r="H23" s="49">
        <v>0</v>
      </c>
      <c r="I23" s="50">
        <f t="shared" si="11"/>
        <v>0</v>
      </c>
      <c r="J23" s="49">
        <v>0</v>
      </c>
      <c r="K23" s="50">
        <f t="shared" si="12"/>
        <v>8352</v>
      </c>
      <c r="L23" s="49">
        <v>0.8</v>
      </c>
      <c r="M23" s="50">
        <f t="shared" si="13"/>
        <v>0</v>
      </c>
      <c r="N23" s="49">
        <v>0</v>
      </c>
      <c r="O23" s="50">
        <f t="shared" si="14"/>
        <v>0</v>
      </c>
      <c r="P23" s="49">
        <v>0</v>
      </c>
      <c r="Q23" s="50">
        <f t="shared" si="15"/>
        <v>0</v>
      </c>
      <c r="R23" s="49">
        <v>0</v>
      </c>
      <c r="S23" s="50">
        <f t="shared" si="16"/>
        <v>0</v>
      </c>
      <c r="T23" s="49">
        <v>0</v>
      </c>
      <c r="U23" s="50">
        <f t="shared" si="17"/>
        <v>2088</v>
      </c>
      <c r="V23" s="49">
        <v>0.2</v>
      </c>
      <c r="W23" s="49">
        <f t="shared" si="18"/>
        <v>1</v>
      </c>
    </row>
    <row r="24" spans="1:24" s="13" customFormat="1" ht="21.75" customHeight="1" x14ac:dyDescent="0.25">
      <c r="A24" s="16"/>
      <c r="B24" s="41">
        <v>4</v>
      </c>
      <c r="C24" s="42" t="s">
        <v>120</v>
      </c>
      <c r="D24" s="43">
        <f>SUM(D25)</f>
        <v>13979.02</v>
      </c>
      <c r="E24" s="44">
        <f t="shared" si="0"/>
        <v>1.3194482411030502E-2</v>
      </c>
      <c r="F24" s="1"/>
      <c r="G24" s="45"/>
      <c r="H24" s="46"/>
      <c r="I24" s="45"/>
      <c r="J24" s="46"/>
      <c r="K24" s="45"/>
      <c r="L24" s="46"/>
      <c r="M24" s="45"/>
      <c r="N24" s="46"/>
      <c r="O24" s="45"/>
      <c r="P24" s="46"/>
      <c r="Q24" s="45"/>
      <c r="R24" s="46"/>
      <c r="S24" s="45"/>
      <c r="T24" s="46"/>
      <c r="U24" s="45"/>
      <c r="V24" s="46"/>
      <c r="W24" s="46"/>
      <c r="X24" s="47"/>
    </row>
    <row r="25" spans="1:24" ht="21.75" customHeight="1" outlineLevel="1" x14ac:dyDescent="0.25">
      <c r="B25" s="52" t="s">
        <v>25</v>
      </c>
      <c r="C25" s="21" t="str">
        <f>VLOOKUP('Cronograma Físico-Financeiro'!$B25,'Planilha Sintética'!B23:K64,2,0)</f>
        <v>Estudos hidrológicos</v>
      </c>
      <c r="D25" s="48">
        <f>VLOOKUP('Cronograma Físico-Financeiro'!$B25,'Planilha Sintética'!B23:K64,6,0)</f>
        <v>13979.02</v>
      </c>
      <c r="E25" s="49">
        <f t="shared" si="0"/>
        <v>1.3194482411030502E-2</v>
      </c>
      <c r="G25" s="50">
        <f>$D25*H25</f>
        <v>0</v>
      </c>
      <c r="H25" s="49">
        <v>0</v>
      </c>
      <c r="I25" s="50">
        <f>$D25*J25</f>
        <v>0</v>
      </c>
      <c r="J25" s="49">
        <v>0</v>
      </c>
      <c r="K25" s="50">
        <f>$D25*L25</f>
        <v>11183.216</v>
      </c>
      <c r="L25" s="49">
        <v>0.8</v>
      </c>
      <c r="M25" s="50">
        <f>$D25*N25</f>
        <v>0</v>
      </c>
      <c r="N25" s="49">
        <v>0</v>
      </c>
      <c r="O25" s="50">
        <f>$D25*P25</f>
        <v>0</v>
      </c>
      <c r="P25" s="49">
        <v>0</v>
      </c>
      <c r="Q25" s="50">
        <f>$D25*R25</f>
        <v>0</v>
      </c>
      <c r="R25" s="49">
        <v>0</v>
      </c>
      <c r="S25" s="50">
        <f>$D25*T25</f>
        <v>0</v>
      </c>
      <c r="T25" s="49">
        <v>0</v>
      </c>
      <c r="U25" s="50">
        <f>$D25*V25</f>
        <v>2795.8040000000001</v>
      </c>
      <c r="V25" s="49">
        <v>0.2</v>
      </c>
      <c r="W25" s="49">
        <f>V25+T25+R25+P25+N25+L25+J25+H25</f>
        <v>1</v>
      </c>
    </row>
    <row r="26" spans="1:24" s="13" customFormat="1" ht="21.75" customHeight="1" x14ac:dyDescent="0.25">
      <c r="A26" s="16"/>
      <c r="B26" s="41">
        <v>5</v>
      </c>
      <c r="C26" s="42" t="s">
        <v>121</v>
      </c>
      <c r="D26" s="43">
        <f>SUM(D27:D45)</f>
        <v>682402.95000000007</v>
      </c>
      <c r="E26" s="44">
        <f t="shared" si="0"/>
        <v>0.64410478853384057</v>
      </c>
      <c r="F26" s="1"/>
      <c r="G26" s="45"/>
      <c r="H26" s="46"/>
      <c r="I26" s="45"/>
      <c r="J26" s="46"/>
      <c r="K26" s="45"/>
      <c r="L26" s="46"/>
      <c r="M26" s="45"/>
      <c r="N26" s="46"/>
      <c r="O26" s="45"/>
      <c r="P26" s="46"/>
      <c r="Q26" s="45"/>
      <c r="R26" s="46"/>
      <c r="S26" s="45"/>
      <c r="T26" s="46"/>
      <c r="U26" s="45"/>
      <c r="V26" s="46"/>
      <c r="W26" s="46"/>
      <c r="X26" s="47"/>
    </row>
    <row r="27" spans="1:24" ht="21.75" customHeight="1" outlineLevel="1" x14ac:dyDescent="0.25">
      <c r="B27" s="52" t="s">
        <v>26</v>
      </c>
      <c r="C27" s="21" t="str">
        <f>VLOOKUP('Cronograma Físico-Financeiro'!$B27,'Planilha Sintética'!B25:K66,2,0)</f>
        <v>Anteprojeto arquitetônico</v>
      </c>
      <c r="D27" s="48">
        <f>VLOOKUP('Cronograma Físico-Financeiro'!$B27,'Planilha Sintética'!B25:K66,6,0)</f>
        <v>186902.5</v>
      </c>
      <c r="E27" s="49">
        <f t="shared" si="0"/>
        <v>0.17641306392205092</v>
      </c>
      <c r="G27" s="50">
        <f t="shared" ref="G27:G45" si="19">$D27*H27</f>
        <v>0</v>
      </c>
      <c r="H27" s="49">
        <v>0</v>
      </c>
      <c r="I27" s="50">
        <f t="shared" ref="I27:I45" si="20">$D27*J27</f>
        <v>0</v>
      </c>
      <c r="J27" s="49">
        <v>0</v>
      </c>
      <c r="K27" s="50">
        <f t="shared" ref="K27:K45" si="21">$D27*L27</f>
        <v>0</v>
      </c>
      <c r="L27" s="49">
        <v>0</v>
      </c>
      <c r="M27" s="50">
        <f t="shared" ref="M27:M45" si="22">$D27*N27</f>
        <v>0</v>
      </c>
      <c r="N27" s="49">
        <v>0</v>
      </c>
      <c r="O27" s="50">
        <f t="shared" ref="O27:O45" si="23">$D27*P27</f>
        <v>0</v>
      </c>
      <c r="P27" s="49">
        <v>0</v>
      </c>
      <c r="Q27" s="50">
        <f t="shared" ref="Q27:Q45" si="24">$D27*R27</f>
        <v>149522</v>
      </c>
      <c r="R27" s="49">
        <v>0.8</v>
      </c>
      <c r="S27" s="50">
        <f t="shared" ref="S27:S45" si="25">$D27*T27</f>
        <v>0</v>
      </c>
      <c r="T27" s="49">
        <v>0</v>
      </c>
      <c r="U27" s="50">
        <f t="shared" ref="U27:U45" si="26">$D27*V27</f>
        <v>37380.5</v>
      </c>
      <c r="V27" s="49">
        <v>0.2</v>
      </c>
      <c r="W27" s="49">
        <f t="shared" ref="W27:W45" si="27">V27+T27+R27+P27+N27+L27+J27+H27</f>
        <v>1</v>
      </c>
    </row>
    <row r="28" spans="1:24" ht="21.75" customHeight="1" outlineLevel="1" x14ac:dyDescent="0.25">
      <c r="B28" s="52" t="s">
        <v>56</v>
      </c>
      <c r="C28" s="21" t="str">
        <f>VLOOKUP('Cronograma Físico-Financeiro'!$B28,'Planilha Sintética'!B26:K67,2,0)</f>
        <v>Anteprojeto de terraplenagem</v>
      </c>
      <c r="D28" s="48">
        <f>VLOOKUP('Cronograma Físico-Financeiro'!$B28,'Planilha Sintética'!B26:K67,6,0)</f>
        <v>15766.83</v>
      </c>
      <c r="E28" s="49">
        <f t="shared" si="0"/>
        <v>1.4881956039315206E-2</v>
      </c>
      <c r="G28" s="50">
        <f t="shared" si="19"/>
        <v>0</v>
      </c>
      <c r="H28" s="49">
        <v>0</v>
      </c>
      <c r="I28" s="50">
        <f t="shared" si="20"/>
        <v>0</v>
      </c>
      <c r="J28" s="49">
        <v>0</v>
      </c>
      <c r="K28" s="50">
        <f t="shared" si="21"/>
        <v>0</v>
      </c>
      <c r="L28" s="49">
        <v>0</v>
      </c>
      <c r="M28" s="50">
        <f t="shared" si="22"/>
        <v>0</v>
      </c>
      <c r="N28" s="49">
        <v>0</v>
      </c>
      <c r="O28" s="50">
        <f t="shared" si="23"/>
        <v>0</v>
      </c>
      <c r="P28" s="49">
        <v>0</v>
      </c>
      <c r="Q28" s="50">
        <f t="shared" si="24"/>
        <v>12613.464</v>
      </c>
      <c r="R28" s="49">
        <v>0.8</v>
      </c>
      <c r="S28" s="50">
        <f t="shared" si="25"/>
        <v>0</v>
      </c>
      <c r="T28" s="49">
        <v>0</v>
      </c>
      <c r="U28" s="50">
        <f t="shared" si="26"/>
        <v>3153.366</v>
      </c>
      <c r="V28" s="49">
        <v>0.2</v>
      </c>
      <c r="W28" s="49">
        <f t="shared" si="27"/>
        <v>1</v>
      </c>
    </row>
    <row r="29" spans="1:24" ht="21.75" customHeight="1" outlineLevel="1" x14ac:dyDescent="0.25">
      <c r="B29" s="52" t="s">
        <v>58</v>
      </c>
      <c r="C29" s="21" t="str">
        <f>VLOOKUP('Cronograma Físico-Financeiro'!$B29,'Planilha Sintética'!B27:K68,2,0)</f>
        <v>Anteprojeto de infraesturutra</v>
      </c>
      <c r="D29" s="48">
        <f>VLOOKUP('Cronograma Físico-Financeiro'!$B29,'Planilha Sintética'!B27:K68,6,0)</f>
        <v>29164.994999999999</v>
      </c>
      <c r="E29" s="49">
        <f t="shared" si="0"/>
        <v>2.752818248670454E-2</v>
      </c>
      <c r="G29" s="50">
        <f t="shared" si="19"/>
        <v>0</v>
      </c>
      <c r="H29" s="49">
        <v>0</v>
      </c>
      <c r="I29" s="50">
        <f t="shared" si="20"/>
        <v>0</v>
      </c>
      <c r="J29" s="49">
        <v>0</v>
      </c>
      <c r="K29" s="50">
        <f t="shared" si="21"/>
        <v>0</v>
      </c>
      <c r="L29" s="49">
        <v>0</v>
      </c>
      <c r="M29" s="50">
        <f t="shared" si="22"/>
        <v>0</v>
      </c>
      <c r="N29" s="49">
        <v>0</v>
      </c>
      <c r="O29" s="50">
        <f t="shared" si="23"/>
        <v>0</v>
      </c>
      <c r="P29" s="49">
        <v>0</v>
      </c>
      <c r="Q29" s="50">
        <f t="shared" si="24"/>
        <v>0</v>
      </c>
      <c r="R29" s="49">
        <v>0</v>
      </c>
      <c r="S29" s="50">
        <f t="shared" si="25"/>
        <v>23331.995999999999</v>
      </c>
      <c r="T29" s="49">
        <v>0.8</v>
      </c>
      <c r="U29" s="50">
        <f t="shared" si="26"/>
        <v>5832.9989999999998</v>
      </c>
      <c r="V29" s="49">
        <v>0.2</v>
      </c>
      <c r="W29" s="49">
        <f t="shared" si="27"/>
        <v>1</v>
      </c>
    </row>
    <row r="30" spans="1:24" ht="21.75" customHeight="1" outlineLevel="1" x14ac:dyDescent="0.25">
      <c r="B30" s="52" t="s">
        <v>60</v>
      </c>
      <c r="C30" s="21" t="str">
        <f>VLOOKUP('Cronograma Físico-Financeiro'!$B30,'Planilha Sintética'!B28:K69,2,0)</f>
        <v>Anteprojeto de supraestrutura</v>
      </c>
      <c r="D30" s="48">
        <f>VLOOKUP('Cronograma Físico-Financeiro'!$B30,'Planilha Sintética'!B28:K69,6,0)</f>
        <v>58000</v>
      </c>
      <c r="E30" s="49">
        <f t="shared" si="0"/>
        <v>5.4744894838105178E-2</v>
      </c>
      <c r="G30" s="50">
        <f t="shared" si="19"/>
        <v>0</v>
      </c>
      <c r="H30" s="49">
        <v>0</v>
      </c>
      <c r="I30" s="50">
        <f t="shared" si="20"/>
        <v>0</v>
      </c>
      <c r="J30" s="49">
        <v>0</v>
      </c>
      <c r="K30" s="50">
        <f t="shared" si="21"/>
        <v>0</v>
      </c>
      <c r="L30" s="49">
        <v>0</v>
      </c>
      <c r="M30" s="50">
        <f t="shared" si="22"/>
        <v>0</v>
      </c>
      <c r="N30" s="49">
        <v>0</v>
      </c>
      <c r="O30" s="50">
        <f t="shared" si="23"/>
        <v>0</v>
      </c>
      <c r="P30" s="49">
        <v>0</v>
      </c>
      <c r="Q30" s="50">
        <f t="shared" si="24"/>
        <v>0</v>
      </c>
      <c r="R30" s="49">
        <v>0</v>
      </c>
      <c r="S30" s="50">
        <f t="shared" si="25"/>
        <v>46400</v>
      </c>
      <c r="T30" s="49">
        <v>0.8</v>
      </c>
      <c r="U30" s="50">
        <f t="shared" si="26"/>
        <v>11600</v>
      </c>
      <c r="V30" s="49">
        <v>0.2</v>
      </c>
      <c r="W30" s="49">
        <f t="shared" si="27"/>
        <v>1</v>
      </c>
    </row>
    <row r="31" spans="1:24" ht="21.75" customHeight="1" outlineLevel="1" x14ac:dyDescent="0.25">
      <c r="B31" s="52" t="s">
        <v>61</v>
      </c>
      <c r="C31" s="21" t="str">
        <f>VLOOKUP('Cronograma Físico-Financeiro'!$B31,'Planilha Sintética'!B29:K70,2,0)</f>
        <v>Anteprojeto de cobertura</v>
      </c>
      <c r="D31" s="48">
        <f>VLOOKUP('Cronograma Físico-Financeiro'!$B31,'Planilha Sintética'!B29:K70,6,0)</f>
        <v>33446.235000000001</v>
      </c>
      <c r="E31" s="49">
        <f t="shared" si="0"/>
        <v>3.156914858285436E-2</v>
      </c>
      <c r="G31" s="50">
        <f t="shared" si="19"/>
        <v>0</v>
      </c>
      <c r="H31" s="49">
        <v>0</v>
      </c>
      <c r="I31" s="50">
        <f t="shared" si="20"/>
        <v>0</v>
      </c>
      <c r="J31" s="49">
        <v>0</v>
      </c>
      <c r="K31" s="50">
        <f t="shared" si="21"/>
        <v>0</v>
      </c>
      <c r="L31" s="49">
        <v>0</v>
      </c>
      <c r="M31" s="50">
        <f t="shared" si="22"/>
        <v>0</v>
      </c>
      <c r="N31" s="49">
        <v>0</v>
      </c>
      <c r="O31" s="50">
        <f t="shared" si="23"/>
        <v>0</v>
      </c>
      <c r="P31" s="49">
        <v>0</v>
      </c>
      <c r="Q31" s="50">
        <f t="shared" si="24"/>
        <v>0</v>
      </c>
      <c r="R31" s="49">
        <v>0</v>
      </c>
      <c r="S31" s="50">
        <f t="shared" si="25"/>
        <v>26756.988000000001</v>
      </c>
      <c r="T31" s="49">
        <v>0.8</v>
      </c>
      <c r="U31" s="50">
        <f t="shared" si="26"/>
        <v>6689.2470000000003</v>
      </c>
      <c r="V31" s="49">
        <v>0.2</v>
      </c>
      <c r="W31" s="49">
        <f t="shared" si="27"/>
        <v>1</v>
      </c>
    </row>
    <row r="32" spans="1:24" ht="21.75" customHeight="1" outlineLevel="1" x14ac:dyDescent="0.25">
      <c r="B32" s="52" t="s">
        <v>63</v>
      </c>
      <c r="C32" s="21" t="str">
        <f>VLOOKUP('Cronograma Físico-Financeiro'!$B32,'Planilha Sintética'!B31:K72,2,0)</f>
        <v>Anteprojeto de pavimentação</v>
      </c>
      <c r="D32" s="48">
        <f>VLOOKUP('Cronograma Físico-Financeiro'!$B32,'Planilha Sintética'!B31:K72,6,0)</f>
        <v>26188.985000000001</v>
      </c>
      <c r="E32" s="49">
        <f t="shared" si="0"/>
        <v>2.4719193616236448E-2</v>
      </c>
      <c r="G32" s="50">
        <f t="shared" si="19"/>
        <v>0</v>
      </c>
      <c r="H32" s="49">
        <v>0</v>
      </c>
      <c r="I32" s="50">
        <f t="shared" si="20"/>
        <v>0</v>
      </c>
      <c r="J32" s="49">
        <v>0</v>
      </c>
      <c r="K32" s="50">
        <f t="shared" si="21"/>
        <v>0</v>
      </c>
      <c r="L32" s="49">
        <v>0</v>
      </c>
      <c r="M32" s="50">
        <f t="shared" si="22"/>
        <v>0</v>
      </c>
      <c r="N32" s="49">
        <v>0</v>
      </c>
      <c r="O32" s="50">
        <f t="shared" si="23"/>
        <v>0</v>
      </c>
      <c r="P32" s="49">
        <v>0</v>
      </c>
      <c r="Q32" s="50">
        <f t="shared" si="24"/>
        <v>20951.188000000002</v>
      </c>
      <c r="R32" s="49">
        <v>0.8</v>
      </c>
      <c r="S32" s="50">
        <f t="shared" si="25"/>
        <v>0</v>
      </c>
      <c r="T32" s="49">
        <v>0</v>
      </c>
      <c r="U32" s="50">
        <f t="shared" si="26"/>
        <v>5237.7970000000005</v>
      </c>
      <c r="V32" s="49">
        <v>0.2</v>
      </c>
      <c r="W32" s="49">
        <f t="shared" si="27"/>
        <v>1</v>
      </c>
    </row>
    <row r="33" spans="1:23" ht="21.75" customHeight="1" outlineLevel="1" x14ac:dyDescent="0.25">
      <c r="B33" s="52" t="s">
        <v>65</v>
      </c>
      <c r="C33" s="21" t="str">
        <f>VLOOKUP('Cronograma Físico-Financeiro'!$B33,'Planilha Sintética'!B31:K73,2,0)</f>
        <v>Anteprojeto de drenagem e contenção de cheias</v>
      </c>
      <c r="D33" s="48">
        <f>VLOOKUP('Cronograma Físico-Financeiro'!$B33,'Planilha Sintética'!B31:K73,6,0)</f>
        <v>16265</v>
      </c>
      <c r="E33" s="49">
        <f t="shared" si="0"/>
        <v>1.5352167492099668E-2</v>
      </c>
      <c r="G33" s="50">
        <f t="shared" si="19"/>
        <v>0</v>
      </c>
      <c r="H33" s="49">
        <v>0</v>
      </c>
      <c r="I33" s="50">
        <f t="shared" si="20"/>
        <v>0</v>
      </c>
      <c r="J33" s="49">
        <v>0</v>
      </c>
      <c r="K33" s="50">
        <f t="shared" si="21"/>
        <v>0</v>
      </c>
      <c r="L33" s="49">
        <v>0</v>
      </c>
      <c r="M33" s="50">
        <f t="shared" si="22"/>
        <v>0</v>
      </c>
      <c r="N33" s="49">
        <v>0</v>
      </c>
      <c r="O33" s="50">
        <f t="shared" si="23"/>
        <v>0</v>
      </c>
      <c r="P33" s="49">
        <v>0</v>
      </c>
      <c r="Q33" s="50">
        <f t="shared" si="24"/>
        <v>13012</v>
      </c>
      <c r="R33" s="49">
        <v>0.8</v>
      </c>
      <c r="S33" s="50">
        <f t="shared" si="25"/>
        <v>0</v>
      </c>
      <c r="T33" s="49">
        <v>0</v>
      </c>
      <c r="U33" s="50">
        <f t="shared" si="26"/>
        <v>3253</v>
      </c>
      <c r="V33" s="49">
        <v>0.2</v>
      </c>
      <c r="W33" s="49">
        <f t="shared" si="27"/>
        <v>1</v>
      </c>
    </row>
    <row r="34" spans="1:23" ht="21.75" customHeight="1" outlineLevel="1" x14ac:dyDescent="0.25">
      <c r="B34" s="52" t="s">
        <v>67</v>
      </c>
      <c r="C34" s="21" t="str">
        <f>VLOOKUP('Cronograma Físico-Financeiro'!$B34,'Planilha Sintética'!B32:K74,2,0)</f>
        <v>Anteprojeto de instalações elétricas</v>
      </c>
      <c r="D34" s="48">
        <f>VLOOKUP('Cronograma Físico-Financeiro'!$B34,'Planilha Sintética'!B32:K74,6,0)</f>
        <v>49149.03</v>
      </c>
      <c r="E34" s="49">
        <f t="shared" si="0"/>
        <v>4.6390663426635802E-2</v>
      </c>
      <c r="G34" s="50">
        <f t="shared" si="19"/>
        <v>0</v>
      </c>
      <c r="H34" s="49">
        <v>0</v>
      </c>
      <c r="I34" s="50">
        <f t="shared" si="20"/>
        <v>0</v>
      </c>
      <c r="J34" s="49">
        <v>0</v>
      </c>
      <c r="K34" s="50">
        <f t="shared" si="21"/>
        <v>0</v>
      </c>
      <c r="L34" s="49">
        <v>0</v>
      </c>
      <c r="M34" s="50">
        <f t="shared" si="22"/>
        <v>0</v>
      </c>
      <c r="N34" s="49">
        <v>0</v>
      </c>
      <c r="O34" s="50">
        <f t="shared" si="23"/>
        <v>0</v>
      </c>
      <c r="P34" s="49">
        <v>0</v>
      </c>
      <c r="Q34" s="50">
        <f t="shared" si="24"/>
        <v>0</v>
      </c>
      <c r="R34" s="49">
        <v>0</v>
      </c>
      <c r="S34" s="50">
        <f t="shared" si="25"/>
        <v>39319.224000000002</v>
      </c>
      <c r="T34" s="49">
        <v>0.8</v>
      </c>
      <c r="U34" s="50">
        <f t="shared" si="26"/>
        <v>9829.8060000000005</v>
      </c>
      <c r="V34" s="49">
        <v>0.2</v>
      </c>
      <c r="W34" s="49">
        <f t="shared" si="27"/>
        <v>1</v>
      </c>
    </row>
    <row r="35" spans="1:23" ht="21.75" customHeight="1" outlineLevel="1" x14ac:dyDescent="0.25">
      <c r="B35" s="52" t="s">
        <v>69</v>
      </c>
      <c r="C35" s="21" t="str">
        <f>VLOOKUP('Cronograma Físico-Financeiro'!$B35,'Planilha Sintética'!B33:K75,2,0)</f>
        <v>Anteprojeto de instalações hidrossanitárias</v>
      </c>
      <c r="D35" s="48">
        <f>VLOOKUP('Cronograma Físico-Financeiro'!$B35,'Planilha Sintética'!B33:K75,6,0)</f>
        <v>30030</v>
      </c>
      <c r="E35" s="49">
        <f t="shared" si="0"/>
        <v>2.8344641241177561E-2</v>
      </c>
      <c r="G35" s="50">
        <f t="shared" si="19"/>
        <v>0</v>
      </c>
      <c r="H35" s="49">
        <v>0</v>
      </c>
      <c r="I35" s="50">
        <f t="shared" si="20"/>
        <v>0</v>
      </c>
      <c r="J35" s="49">
        <v>0</v>
      </c>
      <c r="K35" s="50">
        <f t="shared" si="21"/>
        <v>0</v>
      </c>
      <c r="L35" s="49">
        <v>0</v>
      </c>
      <c r="M35" s="50">
        <f t="shared" si="22"/>
        <v>0</v>
      </c>
      <c r="N35" s="49">
        <v>0</v>
      </c>
      <c r="O35" s="50">
        <f t="shared" si="23"/>
        <v>0</v>
      </c>
      <c r="P35" s="49">
        <v>0</v>
      </c>
      <c r="Q35" s="50">
        <f t="shared" si="24"/>
        <v>0</v>
      </c>
      <c r="R35" s="49">
        <v>0</v>
      </c>
      <c r="S35" s="50">
        <f t="shared" si="25"/>
        <v>24024</v>
      </c>
      <c r="T35" s="49">
        <v>0.8</v>
      </c>
      <c r="U35" s="50">
        <f t="shared" si="26"/>
        <v>6006</v>
      </c>
      <c r="V35" s="49">
        <v>0.2</v>
      </c>
      <c r="W35" s="49">
        <f t="shared" si="27"/>
        <v>1</v>
      </c>
    </row>
    <row r="36" spans="1:23" ht="21.75" customHeight="1" outlineLevel="1" x14ac:dyDescent="0.25">
      <c r="B36" s="52" t="s">
        <v>70</v>
      </c>
      <c r="C36" s="21" t="str">
        <f>VLOOKUP('Cronograma Físico-Financeiro'!$B36,'Planilha Sintética'!B34:K76,2,0)</f>
        <v>Anteprojeto de sinalização</v>
      </c>
      <c r="D36" s="48">
        <f>VLOOKUP('Cronograma Físico-Financeiro'!$B36,'Planilha Sintética'!B34:K76,6,0)</f>
        <v>31850</v>
      </c>
      <c r="E36" s="49">
        <f t="shared" si="0"/>
        <v>3.0062498286097413E-2</v>
      </c>
      <c r="G36" s="50">
        <f t="shared" si="19"/>
        <v>0</v>
      </c>
      <c r="H36" s="49">
        <v>0</v>
      </c>
      <c r="I36" s="50">
        <f t="shared" si="20"/>
        <v>0</v>
      </c>
      <c r="J36" s="49">
        <v>0</v>
      </c>
      <c r="K36" s="50">
        <f t="shared" si="21"/>
        <v>0</v>
      </c>
      <c r="L36" s="49">
        <v>0</v>
      </c>
      <c r="M36" s="50">
        <f t="shared" si="22"/>
        <v>0</v>
      </c>
      <c r="N36" s="49">
        <v>0</v>
      </c>
      <c r="O36" s="50">
        <f t="shared" si="23"/>
        <v>0</v>
      </c>
      <c r="P36" s="49">
        <v>0</v>
      </c>
      <c r="Q36" s="50">
        <f t="shared" si="24"/>
        <v>0</v>
      </c>
      <c r="R36" s="49">
        <v>0</v>
      </c>
      <c r="S36" s="50">
        <f t="shared" si="25"/>
        <v>25480</v>
      </c>
      <c r="T36" s="49">
        <v>0.8</v>
      </c>
      <c r="U36" s="50">
        <f t="shared" si="26"/>
        <v>6370</v>
      </c>
      <c r="V36" s="49">
        <v>0.2</v>
      </c>
      <c r="W36" s="49">
        <f t="shared" si="27"/>
        <v>1</v>
      </c>
    </row>
    <row r="37" spans="1:23" ht="21.75" customHeight="1" outlineLevel="1" x14ac:dyDescent="0.25">
      <c r="B37" s="52" t="s">
        <v>71</v>
      </c>
      <c r="C37" s="21" t="str">
        <f>VLOOKUP('Cronograma Físico-Financeiro'!$B37,'Planilha Sintética'!B35:K77,2,0)</f>
        <v>Anteprojeto de comunicação visual</v>
      </c>
      <c r="D37" s="48">
        <f>VLOOKUP('Cronograma Físico-Financeiro'!$B37,'Planilha Sintética'!B35:K77,6,0)</f>
        <v>25050</v>
      </c>
      <c r="E37" s="49">
        <f t="shared" si="0"/>
        <v>2.3644131305078187E-2</v>
      </c>
      <c r="G37" s="50">
        <f t="shared" si="19"/>
        <v>0</v>
      </c>
      <c r="H37" s="49">
        <v>0</v>
      </c>
      <c r="I37" s="50">
        <f t="shared" si="20"/>
        <v>0</v>
      </c>
      <c r="J37" s="49">
        <v>0</v>
      </c>
      <c r="K37" s="50">
        <f t="shared" si="21"/>
        <v>0</v>
      </c>
      <c r="L37" s="49">
        <v>0</v>
      </c>
      <c r="M37" s="50">
        <f t="shared" si="22"/>
        <v>0</v>
      </c>
      <c r="N37" s="49">
        <v>0</v>
      </c>
      <c r="O37" s="50">
        <f t="shared" si="23"/>
        <v>0</v>
      </c>
      <c r="P37" s="49">
        <v>0</v>
      </c>
      <c r="Q37" s="50">
        <f t="shared" si="24"/>
        <v>0</v>
      </c>
      <c r="R37" s="49">
        <v>0</v>
      </c>
      <c r="S37" s="50">
        <f t="shared" si="25"/>
        <v>20040</v>
      </c>
      <c r="T37" s="49">
        <v>0.8</v>
      </c>
      <c r="U37" s="50">
        <f t="shared" si="26"/>
        <v>5010</v>
      </c>
      <c r="V37" s="49">
        <v>0.2</v>
      </c>
      <c r="W37" s="49">
        <f t="shared" si="27"/>
        <v>1</v>
      </c>
    </row>
    <row r="38" spans="1:23" ht="21.75" customHeight="1" outlineLevel="1" x14ac:dyDescent="0.25">
      <c r="B38" s="52" t="s">
        <v>73</v>
      </c>
      <c r="C38" s="21" t="str">
        <f>VLOOKUP('Cronograma Físico-Financeiro'!$B38,'Planilha Sintética'!B36:K78,2,0)</f>
        <v>Anteprojeto de climatização</v>
      </c>
      <c r="D38" s="48">
        <f>VLOOKUP('Cronograma Físico-Financeiro'!$B38,'Planilha Sintética'!B36:K78,6,0)</f>
        <v>19250</v>
      </c>
      <c r="E38" s="49">
        <f t="shared" si="0"/>
        <v>1.8169641821267669E-2</v>
      </c>
      <c r="G38" s="50">
        <f t="shared" si="19"/>
        <v>0</v>
      </c>
      <c r="H38" s="49">
        <v>0</v>
      </c>
      <c r="I38" s="50">
        <f t="shared" si="20"/>
        <v>0</v>
      </c>
      <c r="J38" s="49">
        <v>0</v>
      </c>
      <c r="K38" s="50">
        <f t="shared" si="21"/>
        <v>0</v>
      </c>
      <c r="L38" s="49">
        <v>0</v>
      </c>
      <c r="M38" s="50">
        <f t="shared" si="22"/>
        <v>0</v>
      </c>
      <c r="N38" s="49">
        <v>0</v>
      </c>
      <c r="O38" s="50">
        <f t="shared" si="23"/>
        <v>0</v>
      </c>
      <c r="P38" s="49">
        <v>0</v>
      </c>
      <c r="Q38" s="50">
        <f t="shared" si="24"/>
        <v>0</v>
      </c>
      <c r="R38" s="49">
        <v>0</v>
      </c>
      <c r="S38" s="50">
        <f t="shared" si="25"/>
        <v>15400</v>
      </c>
      <c r="T38" s="49">
        <v>0.8</v>
      </c>
      <c r="U38" s="50">
        <f t="shared" si="26"/>
        <v>3850</v>
      </c>
      <c r="V38" s="49">
        <v>0.2</v>
      </c>
      <c r="W38" s="49">
        <f t="shared" si="27"/>
        <v>1</v>
      </c>
    </row>
    <row r="39" spans="1:23" ht="21.75" customHeight="1" outlineLevel="1" x14ac:dyDescent="0.25">
      <c r="B39" s="52" t="s">
        <v>75</v>
      </c>
      <c r="C39" s="21" t="str">
        <f>VLOOKUP('Cronograma Físico-Financeiro'!$B39,'Planilha Sintética'!B37:K79,2,0)</f>
        <v>Anteprojeto de prevenção e combate a incêndio</v>
      </c>
      <c r="D39" s="48">
        <f>VLOOKUP('Cronograma Físico-Financeiro'!$B39,'Planilha Sintética'!B37:K79,6,0)</f>
        <v>27300</v>
      </c>
      <c r="E39" s="49">
        <f t="shared" si="0"/>
        <v>2.5767855673797784E-2</v>
      </c>
      <c r="G39" s="50">
        <f t="shared" si="19"/>
        <v>0</v>
      </c>
      <c r="H39" s="49">
        <v>0</v>
      </c>
      <c r="I39" s="50">
        <f t="shared" si="20"/>
        <v>0</v>
      </c>
      <c r="J39" s="49">
        <v>0</v>
      </c>
      <c r="K39" s="50">
        <f t="shared" si="21"/>
        <v>0</v>
      </c>
      <c r="L39" s="49">
        <v>0</v>
      </c>
      <c r="M39" s="50">
        <f t="shared" si="22"/>
        <v>0</v>
      </c>
      <c r="N39" s="49">
        <v>0</v>
      </c>
      <c r="O39" s="50">
        <f t="shared" si="23"/>
        <v>0</v>
      </c>
      <c r="P39" s="49">
        <v>0</v>
      </c>
      <c r="Q39" s="50">
        <f t="shared" si="24"/>
        <v>0</v>
      </c>
      <c r="R39" s="49">
        <v>0</v>
      </c>
      <c r="S39" s="50">
        <f t="shared" si="25"/>
        <v>21840</v>
      </c>
      <c r="T39" s="49">
        <v>0.8</v>
      </c>
      <c r="U39" s="50">
        <f t="shared" si="26"/>
        <v>5460</v>
      </c>
      <c r="V39" s="49">
        <v>0.2</v>
      </c>
      <c r="W39" s="49">
        <f t="shared" si="27"/>
        <v>1</v>
      </c>
    </row>
    <row r="40" spans="1:23" ht="21.75" customHeight="1" outlineLevel="1" x14ac:dyDescent="0.25">
      <c r="B40" s="52" t="s">
        <v>77</v>
      </c>
      <c r="C40" s="21" t="str">
        <f>VLOOKUP('Cronograma Físico-Financeiro'!$B40,'Planilha Sintética'!B38:K80,2,0)</f>
        <v>Anteprojeto fotovoltaico</v>
      </c>
      <c r="D40" s="48">
        <f>VLOOKUP('Cronograma Físico-Financeiro'!$B40,'Planilha Sintética'!B38:K80,6,0)</f>
        <v>21052.525000000001</v>
      </c>
      <c r="E40" s="49">
        <f t="shared" si="0"/>
        <v>1.9871004606923801E-2</v>
      </c>
      <c r="G40" s="50">
        <f t="shared" si="19"/>
        <v>0</v>
      </c>
      <c r="H40" s="49">
        <v>0</v>
      </c>
      <c r="I40" s="50">
        <f t="shared" si="20"/>
        <v>0</v>
      </c>
      <c r="J40" s="49">
        <v>0</v>
      </c>
      <c r="K40" s="50">
        <f t="shared" si="21"/>
        <v>0</v>
      </c>
      <c r="L40" s="49">
        <v>0</v>
      </c>
      <c r="M40" s="50">
        <f t="shared" si="22"/>
        <v>0</v>
      </c>
      <c r="N40" s="49">
        <v>0</v>
      </c>
      <c r="O40" s="50">
        <f t="shared" si="23"/>
        <v>0</v>
      </c>
      <c r="P40" s="49">
        <v>0</v>
      </c>
      <c r="Q40" s="50">
        <f t="shared" si="24"/>
        <v>0</v>
      </c>
      <c r="R40" s="49">
        <v>0</v>
      </c>
      <c r="S40" s="50">
        <f t="shared" si="25"/>
        <v>0</v>
      </c>
      <c r="T40" s="49">
        <v>0</v>
      </c>
      <c r="U40" s="50">
        <f t="shared" si="26"/>
        <v>21052.525000000001</v>
      </c>
      <c r="V40" s="49">
        <v>1</v>
      </c>
      <c r="W40" s="49">
        <f t="shared" si="27"/>
        <v>1</v>
      </c>
    </row>
    <row r="41" spans="1:23" ht="21.75" customHeight="1" outlineLevel="1" x14ac:dyDescent="0.25">
      <c r="B41" s="52" t="s">
        <v>79</v>
      </c>
      <c r="C41" s="21" t="str">
        <f>VLOOKUP('Cronograma Físico-Financeiro'!$B41,'Planilha Sintética'!B39:K81,2,0)</f>
        <v>Plano de Demolição</v>
      </c>
      <c r="D41" s="48">
        <f>VLOOKUP('Cronograma Físico-Financeiro'!$B41,'Planilha Sintética'!B39:K81,6,0)</f>
        <v>18200</v>
      </c>
      <c r="E41" s="49">
        <f t="shared" si="0"/>
        <v>1.7178570449198523E-2</v>
      </c>
      <c r="G41" s="50">
        <f t="shared" si="19"/>
        <v>0</v>
      </c>
      <c r="H41" s="49">
        <v>0</v>
      </c>
      <c r="I41" s="50">
        <f t="shared" si="20"/>
        <v>0</v>
      </c>
      <c r="J41" s="49">
        <v>0</v>
      </c>
      <c r="K41" s="50">
        <f t="shared" si="21"/>
        <v>0</v>
      </c>
      <c r="L41" s="49">
        <v>0</v>
      </c>
      <c r="M41" s="50">
        <f t="shared" si="22"/>
        <v>0</v>
      </c>
      <c r="N41" s="49">
        <v>0</v>
      </c>
      <c r="O41" s="50">
        <f t="shared" si="23"/>
        <v>0</v>
      </c>
      <c r="P41" s="49">
        <v>0</v>
      </c>
      <c r="Q41" s="50">
        <f t="shared" si="24"/>
        <v>0</v>
      </c>
      <c r="R41" s="49">
        <v>0</v>
      </c>
      <c r="S41" s="50">
        <f t="shared" si="25"/>
        <v>0</v>
      </c>
      <c r="T41" s="49">
        <v>0</v>
      </c>
      <c r="U41" s="50">
        <f t="shared" si="26"/>
        <v>18200</v>
      </c>
      <c r="V41" s="49">
        <v>1</v>
      </c>
      <c r="W41" s="49">
        <f t="shared" si="27"/>
        <v>1</v>
      </c>
    </row>
    <row r="42" spans="1:23" ht="21.75" customHeight="1" outlineLevel="1" x14ac:dyDescent="0.25">
      <c r="B42" s="52" t="s">
        <v>81</v>
      </c>
      <c r="C42" s="21" t="str">
        <f>VLOOKUP('Cronograma Físico-Financeiro'!$B42,'Planilha Sintética'!B30:K71,2,0)</f>
        <v>Anteprojeto de obra-de-arte especial</v>
      </c>
      <c r="D42" s="48">
        <f>VLOOKUP('Cronograma Físico-Financeiro'!$B42,'Planilha Sintética'!B30:K71,6,0)</f>
        <v>29461.040000000001</v>
      </c>
      <c r="E42" s="49">
        <f t="shared" si="0"/>
        <v>2.7807612700365695E-2</v>
      </c>
      <c r="G42" s="50">
        <f>$D42*H42</f>
        <v>0</v>
      </c>
      <c r="H42" s="49">
        <v>0</v>
      </c>
      <c r="I42" s="50">
        <f>$D42*J42</f>
        <v>0</v>
      </c>
      <c r="J42" s="49">
        <v>0</v>
      </c>
      <c r="K42" s="50">
        <f>$D42*L42</f>
        <v>0</v>
      </c>
      <c r="L42" s="49">
        <v>0</v>
      </c>
      <c r="M42" s="50">
        <f>$D42*N42</f>
        <v>0</v>
      </c>
      <c r="N42" s="49">
        <v>0</v>
      </c>
      <c r="O42" s="50">
        <f>$D42*P42</f>
        <v>0</v>
      </c>
      <c r="P42" s="49">
        <v>0</v>
      </c>
      <c r="Q42" s="50">
        <f>$D42*R42</f>
        <v>0</v>
      </c>
      <c r="R42" s="49">
        <v>0</v>
      </c>
      <c r="S42" s="50">
        <f>$D42*T42</f>
        <v>23568.832000000002</v>
      </c>
      <c r="T42" s="49">
        <v>0.8</v>
      </c>
      <c r="U42" s="50">
        <f>$D42*V42</f>
        <v>5892.2080000000005</v>
      </c>
      <c r="V42" s="49">
        <v>0.2</v>
      </c>
      <c r="W42" s="49">
        <f>V42+T42+R42+P42+N42+L42+J42+H42</f>
        <v>1</v>
      </c>
    </row>
    <row r="43" spans="1:23" ht="21.75" customHeight="1" outlineLevel="1" x14ac:dyDescent="0.25">
      <c r="B43" s="52" t="s">
        <v>83</v>
      </c>
      <c r="C43" s="21" t="str">
        <f>VLOOKUP('Cronograma Físico-Financeiro'!$B43,'Planilha Sintética'!B40:K82,2,0)</f>
        <v>Anteprojeto do sistema viário</v>
      </c>
      <c r="D43" s="48">
        <f>VLOOKUP('Cronograma Físico-Financeiro'!$B43,'Planilha Sintética'!B40:K82,6,0)</f>
        <v>26000</v>
      </c>
      <c r="E43" s="49">
        <f t="shared" si="0"/>
        <v>2.454081492742646E-2</v>
      </c>
      <c r="G43" s="50">
        <f t="shared" si="19"/>
        <v>0</v>
      </c>
      <c r="H43" s="49">
        <v>0</v>
      </c>
      <c r="I43" s="50">
        <f t="shared" si="20"/>
        <v>0</v>
      </c>
      <c r="J43" s="49">
        <v>0</v>
      </c>
      <c r="K43" s="50">
        <f t="shared" si="21"/>
        <v>0</v>
      </c>
      <c r="L43" s="49">
        <v>0</v>
      </c>
      <c r="M43" s="50">
        <f t="shared" si="22"/>
        <v>0</v>
      </c>
      <c r="N43" s="49">
        <v>0</v>
      </c>
      <c r="O43" s="50">
        <f t="shared" si="23"/>
        <v>0</v>
      </c>
      <c r="P43" s="49">
        <v>0</v>
      </c>
      <c r="Q43" s="50">
        <f t="shared" si="24"/>
        <v>0</v>
      </c>
      <c r="R43" s="49">
        <v>0</v>
      </c>
      <c r="S43" s="50">
        <f t="shared" si="25"/>
        <v>20800</v>
      </c>
      <c r="T43" s="49">
        <v>0.8</v>
      </c>
      <c r="U43" s="50">
        <f t="shared" si="26"/>
        <v>5200</v>
      </c>
      <c r="V43" s="49">
        <v>0.2</v>
      </c>
      <c r="W43" s="49">
        <f t="shared" si="27"/>
        <v>1</v>
      </c>
    </row>
    <row r="44" spans="1:23" ht="21.75" customHeight="1" outlineLevel="1" x14ac:dyDescent="0.25">
      <c r="B44" s="52" t="s">
        <v>98</v>
      </c>
      <c r="C44" s="21" t="str">
        <f>VLOOKUP('Cronograma Físico-Financeiro'!$B44,'Planilha Sintética'!B42:K83,2,0)</f>
        <v>Orçamento</v>
      </c>
      <c r="D44" s="48">
        <f>VLOOKUP('Cronograma Físico-Financeiro'!$B44,'Planilha Sintética'!B42:K83,6,0)</f>
        <v>19750.810000000001</v>
      </c>
      <c r="E44" s="49">
        <f t="shared" si="0"/>
        <v>1.8642345110644762E-2</v>
      </c>
      <c r="G44" s="50">
        <f t="shared" si="19"/>
        <v>0</v>
      </c>
      <c r="H44" s="49">
        <v>0</v>
      </c>
      <c r="I44" s="50">
        <f t="shared" si="20"/>
        <v>0</v>
      </c>
      <c r="J44" s="49">
        <v>0</v>
      </c>
      <c r="K44" s="50">
        <f t="shared" si="21"/>
        <v>0</v>
      </c>
      <c r="L44" s="49">
        <v>0</v>
      </c>
      <c r="M44" s="50">
        <f t="shared" si="22"/>
        <v>0</v>
      </c>
      <c r="N44" s="49">
        <v>0</v>
      </c>
      <c r="O44" s="50">
        <f t="shared" si="23"/>
        <v>0</v>
      </c>
      <c r="P44" s="49">
        <v>0</v>
      </c>
      <c r="Q44" s="50">
        <f t="shared" si="24"/>
        <v>0</v>
      </c>
      <c r="R44" s="49">
        <v>0</v>
      </c>
      <c r="S44" s="50">
        <f t="shared" si="25"/>
        <v>0</v>
      </c>
      <c r="T44" s="49">
        <v>0</v>
      </c>
      <c r="U44" s="50">
        <f t="shared" si="26"/>
        <v>19750.810000000001</v>
      </c>
      <c r="V44" s="49">
        <v>1</v>
      </c>
      <c r="W44" s="49">
        <f t="shared" si="27"/>
        <v>1</v>
      </c>
    </row>
    <row r="45" spans="1:23" ht="21.75" customHeight="1" outlineLevel="1" x14ac:dyDescent="0.25">
      <c r="B45" s="52" t="s">
        <v>100</v>
      </c>
      <c r="C45" s="21" t="str">
        <f>VLOOKUP('Cronograma Físico-Financeiro'!$B45,'Planilha Sintética'!B43:K84,2,0)</f>
        <v>Plano de Implantação</v>
      </c>
      <c r="D45" s="48">
        <f>VLOOKUP('Cronograma Físico-Financeiro'!$B45,'Planilha Sintética'!B43:K84,6,0)</f>
        <v>19575</v>
      </c>
      <c r="E45" s="49">
        <f t="shared" si="0"/>
        <v>1.84764020078605E-2</v>
      </c>
      <c r="G45" s="50">
        <f t="shared" si="19"/>
        <v>0</v>
      </c>
      <c r="H45" s="49">
        <v>0</v>
      </c>
      <c r="I45" s="50">
        <f t="shared" si="20"/>
        <v>0</v>
      </c>
      <c r="J45" s="49">
        <v>0</v>
      </c>
      <c r="K45" s="50">
        <f t="shared" si="21"/>
        <v>0</v>
      </c>
      <c r="L45" s="49">
        <v>0</v>
      </c>
      <c r="M45" s="50">
        <f t="shared" si="22"/>
        <v>0</v>
      </c>
      <c r="N45" s="49">
        <v>0</v>
      </c>
      <c r="O45" s="50">
        <f t="shared" si="23"/>
        <v>0</v>
      </c>
      <c r="P45" s="49">
        <v>0</v>
      </c>
      <c r="Q45" s="50">
        <f t="shared" si="24"/>
        <v>0</v>
      </c>
      <c r="R45" s="49">
        <v>0</v>
      </c>
      <c r="S45" s="50">
        <f t="shared" si="25"/>
        <v>0</v>
      </c>
      <c r="T45" s="49">
        <v>0</v>
      </c>
      <c r="U45" s="50">
        <f t="shared" si="26"/>
        <v>19575</v>
      </c>
      <c r="V45" s="49">
        <v>1</v>
      </c>
      <c r="W45" s="49">
        <f t="shared" si="27"/>
        <v>1</v>
      </c>
    </row>
    <row r="46" spans="1:23" ht="21.75" customHeight="1" x14ac:dyDescent="0.25">
      <c r="A46" s="1"/>
      <c r="B46" s="53"/>
      <c r="C46" s="54" t="s">
        <v>122</v>
      </c>
      <c r="D46" s="55">
        <f>D5+D10+D12+D24+D26</f>
        <v>1059459.5198606374</v>
      </c>
      <c r="E46" s="56"/>
      <c r="G46" s="55">
        <f>SUM(G6:G45)</f>
        <v>10240.072</v>
      </c>
      <c r="H46" s="57">
        <f>G46/$D$46</f>
        <v>9.6653735305969896E-3</v>
      </c>
      <c r="I46" s="55">
        <f>SUM(I6:I45)</f>
        <v>25480</v>
      </c>
      <c r="J46" s="57">
        <f>I46/$D$46</f>
        <v>2.4049998628877932E-2</v>
      </c>
      <c r="K46" s="55">
        <f>SUM(K6:K45)</f>
        <v>129468.97588850991</v>
      </c>
      <c r="L46" s="57">
        <f t="shared" ref="L46:L47" si="28">K46/$D$46</f>
        <v>0.12220285292782156</v>
      </c>
      <c r="M46" s="55">
        <f>SUM(M6:M45)</f>
        <v>89256.207999999999</v>
      </c>
      <c r="N46" s="57">
        <f t="shared" ref="N46:N47" si="29">M46/$D$46</f>
        <v>8.4246926217380044E-2</v>
      </c>
      <c r="O46" s="55">
        <f>SUM(O6:O45)</f>
        <v>47200</v>
      </c>
      <c r="P46" s="57">
        <f t="shared" ref="P46:P47" si="30">O46/$D$46</f>
        <v>4.4551017868251115E-2</v>
      </c>
      <c r="Q46" s="55">
        <f>SUM(Q6:Q45)</f>
        <v>196098.652</v>
      </c>
      <c r="R46" s="57">
        <f t="shared" ref="R46:R47" si="31">Q46/$D$46</f>
        <v>0.1850931048557618</v>
      </c>
      <c r="S46" s="55">
        <f>SUM(S6:S45)</f>
        <v>286961.03999999998</v>
      </c>
      <c r="T46" s="57">
        <f t="shared" ref="T46:T47" si="32">S46/$D$46</f>
        <v>0.27085606823160852</v>
      </c>
      <c r="U46" s="55">
        <f>SUM(U6:U45)</f>
        <v>274754.57197212748</v>
      </c>
      <c r="V46" s="57">
        <f t="shared" ref="V46" si="33">U46/$D$46</f>
        <v>0.25933465773970205</v>
      </c>
      <c r="W46" s="57"/>
    </row>
    <row r="47" spans="1:23" x14ac:dyDescent="0.25">
      <c r="B47" s="58"/>
      <c r="C47" s="59" t="s">
        <v>123</v>
      </c>
      <c r="D47" s="60"/>
      <c r="E47" s="61"/>
      <c r="G47" s="60">
        <f>G46</f>
        <v>10240.072</v>
      </c>
      <c r="H47" s="62">
        <f>G47/$D$46</f>
        <v>9.6653735305969896E-3</v>
      </c>
      <c r="I47" s="60">
        <f>I46+G47</f>
        <v>35720.072</v>
      </c>
      <c r="J47" s="62">
        <f>I47/$D$46</f>
        <v>3.371537215947492E-2</v>
      </c>
      <c r="K47" s="60">
        <f t="shared" ref="K47" si="34">K46+I47</f>
        <v>165189.04788850993</v>
      </c>
      <c r="L47" s="62">
        <f t="shared" si="28"/>
        <v>0.1559182250872965</v>
      </c>
      <c r="M47" s="60">
        <f t="shared" ref="M47" si="35">M46+K47</f>
        <v>254445.25588850991</v>
      </c>
      <c r="N47" s="62">
        <f t="shared" si="29"/>
        <v>0.24016515130467653</v>
      </c>
      <c r="O47" s="60">
        <f t="shared" ref="O47" si="36">O46+M47</f>
        <v>301645.25588850991</v>
      </c>
      <c r="P47" s="62">
        <f t="shared" si="30"/>
        <v>0.28471616917292764</v>
      </c>
      <c r="Q47" s="60">
        <f t="shared" ref="Q47" si="37">Q46+O47</f>
        <v>497743.90788850992</v>
      </c>
      <c r="R47" s="62">
        <f t="shared" si="31"/>
        <v>0.46980927402868944</v>
      </c>
      <c r="S47" s="60">
        <f t="shared" ref="S47" si="38">S46+Q47</f>
        <v>784704.94788850984</v>
      </c>
      <c r="T47" s="62">
        <f t="shared" si="32"/>
        <v>0.7406653422602979</v>
      </c>
      <c r="U47" s="60">
        <f>U46+S47</f>
        <v>1059459.5198606374</v>
      </c>
      <c r="V47" s="62">
        <f>U47/$D$46</f>
        <v>1</v>
      </c>
      <c r="W47" s="62"/>
    </row>
    <row r="49" spans="4:5" x14ac:dyDescent="0.25">
      <c r="D49" s="14"/>
      <c r="E49" s="14"/>
    </row>
    <row r="50" spans="4:5" x14ac:dyDescent="0.25">
      <c r="D50" s="14"/>
      <c r="E50" s="14"/>
    </row>
  </sheetData>
  <autoFilter ref="B4:W47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</autoFilter>
  <mergeCells count="10">
    <mergeCell ref="B1:V1"/>
    <mergeCell ref="B2:V2"/>
    <mergeCell ref="G4:H4"/>
    <mergeCell ref="I4:J4"/>
    <mergeCell ref="K4:L4"/>
    <mergeCell ref="M4:N4"/>
    <mergeCell ref="O4:P4"/>
    <mergeCell ref="Q4:R4"/>
    <mergeCell ref="S4:T4"/>
    <mergeCell ref="U4:V4"/>
  </mergeCells>
  <phoneticPr fontId="13" type="noConversion"/>
  <conditionalFormatting sqref="G5:V45">
    <cfRule type="cellIs" dxfId="0" priority="1" operator="greaterThan">
      <formula>0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8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00" zoomScaleSheetLayoutView="100" workbookViewId="0">
      <selection sqref="A1:F1"/>
    </sheetView>
  </sheetViews>
  <sheetFormatPr defaultRowHeight="15.75" x14ac:dyDescent="0.25"/>
  <cols>
    <col min="1" max="1" width="23.85546875" style="90" customWidth="1"/>
    <col min="2" max="2" width="47" style="90" customWidth="1"/>
    <col min="3" max="3" width="15.85546875" style="90" customWidth="1"/>
    <col min="4" max="6" width="17.140625" style="90" customWidth="1"/>
    <col min="7" max="7" width="12.7109375" style="90" bestFit="1" customWidth="1"/>
    <col min="8" max="8" width="13.85546875" style="90" bestFit="1" customWidth="1"/>
    <col min="9" max="9" width="16" style="90" bestFit="1" customWidth="1"/>
    <col min="10" max="10" width="15.28515625" style="90" bestFit="1" customWidth="1"/>
    <col min="11" max="11" width="15.28515625" style="90" customWidth="1"/>
    <col min="12" max="16384" width="9.140625" style="90"/>
  </cols>
  <sheetData>
    <row r="1" spans="1:7" s="79" customFormat="1" ht="113.25" customHeight="1" x14ac:dyDescent="0.25">
      <c r="A1" s="114" t="s">
        <v>159</v>
      </c>
      <c r="B1" s="114"/>
      <c r="C1" s="114"/>
      <c r="D1" s="114"/>
      <c r="E1" s="114"/>
      <c r="F1" s="114"/>
      <c r="G1" s="1"/>
    </row>
    <row r="2" spans="1:7" s="79" customFormat="1" x14ac:dyDescent="0.25">
      <c r="A2" s="80"/>
      <c r="B2" s="81"/>
      <c r="C2" s="82"/>
      <c r="F2" s="83"/>
    </row>
    <row r="3" spans="1:7" s="84" customFormat="1" ht="15.75" customHeight="1" x14ac:dyDescent="0.25">
      <c r="A3" s="118" t="s">
        <v>20</v>
      </c>
      <c r="B3" s="118" t="s">
        <v>108</v>
      </c>
      <c r="C3" s="118" t="s">
        <v>131</v>
      </c>
      <c r="D3" s="118" t="s">
        <v>160</v>
      </c>
      <c r="E3" s="118"/>
      <c r="F3" s="118"/>
    </row>
    <row r="4" spans="1:7" s="84" customFormat="1" x14ac:dyDescent="0.25">
      <c r="A4" s="118"/>
      <c r="B4" s="118"/>
      <c r="C4" s="118"/>
      <c r="D4" s="85" t="s">
        <v>132</v>
      </c>
      <c r="E4" s="85" t="s">
        <v>133</v>
      </c>
      <c r="F4" s="85" t="s">
        <v>134</v>
      </c>
    </row>
    <row r="5" spans="1:7" x14ac:dyDescent="0.25">
      <c r="A5" s="86">
        <v>1</v>
      </c>
      <c r="B5" s="87" t="s">
        <v>135</v>
      </c>
      <c r="C5" s="88"/>
      <c r="D5" s="89">
        <v>0.03</v>
      </c>
      <c r="E5" s="89">
        <v>0.04</v>
      </c>
      <c r="F5" s="89">
        <v>5.5E-2</v>
      </c>
    </row>
    <row r="6" spans="1:7" x14ac:dyDescent="0.25">
      <c r="A6" s="86">
        <v>2</v>
      </c>
      <c r="B6" s="87" t="s">
        <v>136</v>
      </c>
      <c r="C6" s="88"/>
      <c r="D6" s="89">
        <v>8.0000000000000002E-3</v>
      </c>
      <c r="E6" s="89">
        <v>8.0000000000000002E-3</v>
      </c>
      <c r="F6" s="89">
        <v>0.01</v>
      </c>
    </row>
    <row r="7" spans="1:7" x14ac:dyDescent="0.25">
      <c r="A7" s="86">
        <v>3</v>
      </c>
      <c r="B7" s="87" t="s">
        <v>137</v>
      </c>
      <c r="C7" s="88"/>
      <c r="D7" s="89">
        <v>9.7000000000000003E-3</v>
      </c>
      <c r="E7" s="89">
        <v>1.2699999999999999E-2</v>
      </c>
      <c r="F7" s="89">
        <v>1.2699999999999999E-2</v>
      </c>
    </row>
    <row r="8" spans="1:7" x14ac:dyDescent="0.25">
      <c r="A8" s="86">
        <v>4</v>
      </c>
      <c r="B8" s="87" t="s">
        <v>138</v>
      </c>
      <c r="C8" s="88"/>
      <c r="D8" s="89">
        <v>5.8999999999999999E-3</v>
      </c>
      <c r="E8" s="89">
        <v>1.23E-2</v>
      </c>
      <c r="F8" s="89">
        <v>1.3899999999999999E-2</v>
      </c>
    </row>
    <row r="9" spans="1:7" x14ac:dyDescent="0.25">
      <c r="A9" s="86">
        <v>5</v>
      </c>
      <c r="B9" s="87" t="s">
        <v>139</v>
      </c>
      <c r="C9" s="88"/>
      <c r="D9" s="89">
        <v>6.1600000000000002E-2</v>
      </c>
      <c r="E9" s="89">
        <v>7.3999999999999996E-2</v>
      </c>
      <c r="F9" s="89">
        <v>8.9599999999999999E-2</v>
      </c>
    </row>
    <row r="10" spans="1:7" x14ac:dyDescent="0.25">
      <c r="A10" s="91">
        <v>6</v>
      </c>
      <c r="B10" s="92" t="s">
        <v>140</v>
      </c>
      <c r="C10" s="93"/>
      <c r="D10" s="100" t="s">
        <v>141</v>
      </c>
      <c r="E10" s="101"/>
      <c r="F10" s="102"/>
    </row>
    <row r="11" spans="1:7" x14ac:dyDescent="0.25">
      <c r="A11" s="86" t="s">
        <v>142</v>
      </c>
      <c r="B11" s="94" t="s">
        <v>143</v>
      </c>
      <c r="C11" s="95"/>
      <c r="D11" s="96"/>
      <c r="E11" s="96"/>
      <c r="F11" s="103"/>
    </row>
    <row r="12" spans="1:7" x14ac:dyDescent="0.25">
      <c r="A12" s="86" t="s">
        <v>144</v>
      </c>
      <c r="B12" s="94" t="s">
        <v>145</v>
      </c>
      <c r="C12" s="95"/>
      <c r="D12" s="96"/>
      <c r="E12" s="96"/>
      <c r="F12" s="103"/>
    </row>
    <row r="13" spans="1:7" x14ac:dyDescent="0.25">
      <c r="A13" s="86" t="s">
        <v>146</v>
      </c>
      <c r="B13" s="94" t="s">
        <v>147</v>
      </c>
      <c r="C13" s="95"/>
      <c r="D13" s="96"/>
      <c r="E13" s="96"/>
      <c r="F13" s="103"/>
    </row>
    <row r="14" spans="1:7" x14ac:dyDescent="0.25">
      <c r="A14" s="86" t="s">
        <v>148</v>
      </c>
      <c r="B14" s="94" t="s">
        <v>149</v>
      </c>
      <c r="C14" s="95"/>
      <c r="D14" s="96"/>
      <c r="E14" s="96"/>
      <c r="F14" s="103"/>
    </row>
    <row r="15" spans="1:7" x14ac:dyDescent="0.25">
      <c r="A15" s="119" t="s">
        <v>150</v>
      </c>
      <c r="B15" s="120"/>
      <c r="C15" s="125">
        <f>(((1+$C5+$C6+$C7)*(1+$C8)*(1+$C9)/(1-$C10)))-1</f>
        <v>0</v>
      </c>
      <c r="D15" s="98"/>
      <c r="E15" s="98"/>
      <c r="F15" s="98"/>
    </row>
    <row r="16" spans="1:7" x14ac:dyDescent="0.25">
      <c r="A16" s="121"/>
      <c r="B16" s="122"/>
      <c r="C16" s="126"/>
      <c r="D16"/>
      <c r="E16"/>
      <c r="F16"/>
    </row>
    <row r="17" spans="1:6" x14ac:dyDescent="0.25">
      <c r="A17" s="123"/>
      <c r="B17" s="124"/>
      <c r="C17" s="127"/>
      <c r="D17" s="98"/>
      <c r="E17" s="98"/>
      <c r="F17" s="98"/>
    </row>
    <row r="18" spans="1:6" x14ac:dyDescent="0.25">
      <c r="A18" s="96"/>
      <c r="B18" s="96"/>
      <c r="C18" s="96"/>
      <c r="D18"/>
      <c r="E18"/>
      <c r="F18"/>
    </row>
    <row r="19" spans="1:6" x14ac:dyDescent="0.25">
      <c r="A19" s="97" t="s">
        <v>151</v>
      </c>
      <c r="B19" s="96"/>
      <c r="C19" s="96"/>
      <c r="D19"/>
      <c r="E19"/>
      <c r="F19"/>
    </row>
    <row r="20" spans="1:6" x14ac:dyDescent="0.25">
      <c r="A20" s="96" t="s">
        <v>152</v>
      </c>
      <c r="B20" s="96"/>
      <c r="C20" s="96"/>
      <c r="D20" s="99"/>
      <c r="E20" s="99"/>
      <c r="F20" s="99"/>
    </row>
    <row r="21" spans="1:6" x14ac:dyDescent="0.25">
      <c r="A21" s="96" t="s">
        <v>153</v>
      </c>
      <c r="B21" s="96"/>
      <c r="C21" s="96"/>
      <c r="D21" s="99"/>
      <c r="E21" s="99"/>
      <c r="F21" s="99"/>
    </row>
    <row r="22" spans="1:6" x14ac:dyDescent="0.25">
      <c r="A22" s="96" t="s">
        <v>154</v>
      </c>
      <c r="B22" s="96"/>
      <c r="C22" s="96"/>
      <c r="D22" s="99"/>
      <c r="E22" s="99"/>
      <c r="F22" s="99"/>
    </row>
    <row r="23" spans="1:6" x14ac:dyDescent="0.25">
      <c r="A23" s="96" t="s">
        <v>155</v>
      </c>
      <c r="B23" s="96"/>
      <c r="C23" s="96"/>
      <c r="D23" s="99"/>
      <c r="E23" s="99"/>
      <c r="F23" s="99"/>
    </row>
    <row r="24" spans="1:6" x14ac:dyDescent="0.25">
      <c r="A24" s="96" t="s">
        <v>156</v>
      </c>
      <c r="B24" s="96"/>
      <c r="C24" s="96"/>
      <c r="D24" s="99"/>
      <c r="E24" s="99"/>
      <c r="F24" s="99"/>
    </row>
    <row r="25" spans="1:6" x14ac:dyDescent="0.25">
      <c r="A25" s="96" t="s">
        <v>157</v>
      </c>
      <c r="B25" s="96"/>
      <c r="C25" s="96"/>
      <c r="D25" s="99"/>
      <c r="E25" s="99"/>
      <c r="F25" s="99"/>
    </row>
    <row r="26" spans="1:6" x14ac:dyDescent="0.25">
      <c r="A26" s="96" t="s">
        <v>158</v>
      </c>
      <c r="B26" s="96"/>
      <c r="C26" s="96"/>
      <c r="D26" s="99"/>
      <c r="E26" s="99"/>
      <c r="F26" s="99"/>
    </row>
  </sheetData>
  <mergeCells count="7">
    <mergeCell ref="A1:F1"/>
    <mergeCell ref="D3:F3"/>
    <mergeCell ref="A15:B17"/>
    <mergeCell ref="C15:C17"/>
    <mergeCell ref="A3:A4"/>
    <mergeCell ref="B3:B4"/>
    <mergeCell ref="C3:C4"/>
  </mergeCells>
  <pageMargins left="0.511811024" right="0.511811024" top="0.78740157499999996" bottom="0.78740157499999996" header="0.31496062000000002" footer="0.31496062000000002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="145" zoomScaleNormal="100" zoomScaleSheetLayoutView="145" workbookViewId="0">
      <selection activeCell="C3" sqref="C3"/>
    </sheetView>
  </sheetViews>
  <sheetFormatPr defaultRowHeight="15" x14ac:dyDescent="0.25"/>
  <cols>
    <col min="2" max="2" width="31" customWidth="1"/>
    <col min="3" max="3" width="23.85546875" customWidth="1"/>
    <col min="5" max="5" width="9.5703125" customWidth="1"/>
    <col min="7" max="7" width="9.85546875" customWidth="1"/>
  </cols>
  <sheetData>
    <row r="1" spans="1:7" ht="101.25" customHeight="1" x14ac:dyDescent="0.25">
      <c r="A1" s="114" t="s">
        <v>230</v>
      </c>
      <c r="B1" s="114"/>
      <c r="C1" s="114"/>
      <c r="D1" s="114"/>
      <c r="E1" s="114"/>
      <c r="F1" s="114"/>
      <c r="G1" s="114"/>
    </row>
    <row r="2" spans="1:7" ht="15.75" thickBot="1" x14ac:dyDescent="0.3"/>
    <row r="3" spans="1:7" ht="15.75" thickBot="1" x14ac:dyDescent="0.3">
      <c r="A3" s="112" t="s">
        <v>161</v>
      </c>
      <c r="B3" s="113" t="s">
        <v>162</v>
      </c>
      <c r="C3" s="112" t="s">
        <v>163</v>
      </c>
      <c r="D3" s="138" t="s">
        <v>164</v>
      </c>
      <c r="E3" s="138"/>
      <c r="F3" s="138"/>
      <c r="G3" s="145"/>
    </row>
    <row r="4" spans="1:7" ht="15.75" thickBot="1" x14ac:dyDescent="0.3">
      <c r="A4" s="146"/>
      <c r="B4" s="147"/>
      <c r="C4" s="147"/>
      <c r="D4" s="147"/>
      <c r="E4" s="147"/>
      <c r="F4" s="147"/>
      <c r="G4" s="148"/>
    </row>
    <row r="5" spans="1:7" ht="15.75" thickBot="1" x14ac:dyDescent="0.3">
      <c r="A5" s="137" t="s">
        <v>165</v>
      </c>
      <c r="B5" s="138"/>
      <c r="C5" s="138"/>
      <c r="D5" s="138"/>
      <c r="E5" s="138"/>
      <c r="F5" s="138"/>
      <c r="G5" s="139"/>
    </row>
    <row r="6" spans="1:7" ht="15.75" thickBot="1" x14ac:dyDescent="0.3">
      <c r="A6" s="149" t="s">
        <v>166</v>
      </c>
      <c r="B6" s="151" t="s">
        <v>108</v>
      </c>
      <c r="C6" s="152"/>
      <c r="D6" s="155" t="s">
        <v>167</v>
      </c>
      <c r="E6" s="156"/>
      <c r="F6" s="155" t="s">
        <v>168</v>
      </c>
      <c r="G6" s="156"/>
    </row>
    <row r="7" spans="1:7" ht="26.25" thickBot="1" x14ac:dyDescent="0.3">
      <c r="A7" s="150"/>
      <c r="B7" s="153"/>
      <c r="C7" s="154"/>
      <c r="D7" s="104" t="s">
        <v>169</v>
      </c>
      <c r="E7" s="104" t="s">
        <v>170</v>
      </c>
      <c r="F7" s="104" t="s">
        <v>169</v>
      </c>
      <c r="G7" s="104" t="s">
        <v>170</v>
      </c>
    </row>
    <row r="8" spans="1:7" ht="15.75" thickBot="1" x14ac:dyDescent="0.3">
      <c r="A8" s="142" t="s">
        <v>171</v>
      </c>
      <c r="B8" s="143"/>
      <c r="C8" s="143"/>
      <c r="D8" s="143"/>
      <c r="E8" s="143"/>
      <c r="F8" s="143"/>
      <c r="G8" s="144"/>
    </row>
    <row r="9" spans="1:7" ht="16.5" thickTop="1" thickBot="1" x14ac:dyDescent="0.3">
      <c r="A9" s="105" t="s">
        <v>172</v>
      </c>
      <c r="B9" s="131" t="s">
        <v>173</v>
      </c>
      <c r="C9" s="132"/>
      <c r="D9" s="106"/>
      <c r="E9" s="106"/>
      <c r="F9" s="106"/>
      <c r="G9" s="106"/>
    </row>
    <row r="10" spans="1:7" ht="15.75" thickBot="1" x14ac:dyDescent="0.3">
      <c r="A10" s="105" t="s">
        <v>174</v>
      </c>
      <c r="B10" s="140" t="s">
        <v>175</v>
      </c>
      <c r="C10" s="141"/>
      <c r="D10" s="106"/>
      <c r="E10" s="106"/>
      <c r="F10" s="106"/>
      <c r="G10" s="106"/>
    </row>
    <row r="11" spans="1:7" ht="15.75" thickBot="1" x14ac:dyDescent="0.3">
      <c r="A11" s="105" t="s">
        <v>176</v>
      </c>
      <c r="B11" s="140" t="s">
        <v>177</v>
      </c>
      <c r="C11" s="141"/>
      <c r="D11" s="106"/>
      <c r="E11" s="106"/>
      <c r="F11" s="106"/>
      <c r="G11" s="106"/>
    </row>
    <row r="12" spans="1:7" ht="15.75" thickBot="1" x14ac:dyDescent="0.3">
      <c r="A12" s="105" t="s">
        <v>178</v>
      </c>
      <c r="B12" s="140" t="s">
        <v>179</v>
      </c>
      <c r="C12" s="141"/>
      <c r="D12" s="106"/>
      <c r="E12" s="106"/>
      <c r="F12" s="106"/>
      <c r="G12" s="106"/>
    </row>
    <row r="13" spans="1:7" ht="15.75" thickBot="1" x14ac:dyDescent="0.3">
      <c r="A13" s="105" t="s">
        <v>180</v>
      </c>
      <c r="B13" s="140" t="s">
        <v>181</v>
      </c>
      <c r="C13" s="141"/>
      <c r="D13" s="106"/>
      <c r="E13" s="106"/>
      <c r="F13" s="106"/>
      <c r="G13" s="106"/>
    </row>
    <row r="14" spans="1:7" ht="15.75" thickBot="1" x14ac:dyDescent="0.3">
      <c r="A14" s="105" t="s">
        <v>182</v>
      </c>
      <c r="B14" s="140" t="s">
        <v>183</v>
      </c>
      <c r="C14" s="141"/>
      <c r="D14" s="106"/>
      <c r="E14" s="106"/>
      <c r="F14" s="106"/>
      <c r="G14" s="106"/>
    </row>
    <row r="15" spans="1:7" ht="15.75" thickBot="1" x14ac:dyDescent="0.3">
      <c r="A15" s="105" t="s">
        <v>184</v>
      </c>
      <c r="B15" s="140" t="s">
        <v>185</v>
      </c>
      <c r="C15" s="141"/>
      <c r="D15" s="106"/>
      <c r="E15" s="106"/>
      <c r="F15" s="106"/>
      <c r="G15" s="106"/>
    </row>
    <row r="16" spans="1:7" ht="15.75" thickBot="1" x14ac:dyDescent="0.3">
      <c r="A16" s="105" t="s">
        <v>186</v>
      </c>
      <c r="B16" s="140" t="s">
        <v>187</v>
      </c>
      <c r="C16" s="141"/>
      <c r="D16" s="106"/>
      <c r="E16" s="106"/>
      <c r="F16" s="106"/>
      <c r="G16" s="106"/>
    </row>
    <row r="17" spans="1:7" ht="15.75" thickBot="1" x14ac:dyDescent="0.3">
      <c r="A17" s="107" t="s">
        <v>188</v>
      </c>
      <c r="B17" s="133" t="s">
        <v>189</v>
      </c>
      <c r="C17" s="134"/>
      <c r="D17" s="108"/>
      <c r="E17" s="108"/>
      <c r="F17" s="108"/>
      <c r="G17" s="108"/>
    </row>
    <row r="18" spans="1:7" ht="16.5" thickTop="1" thickBot="1" x14ac:dyDescent="0.3">
      <c r="A18" s="109" t="s">
        <v>126</v>
      </c>
      <c r="B18" s="135" t="s">
        <v>190</v>
      </c>
      <c r="C18" s="136"/>
      <c r="D18" s="110"/>
      <c r="E18" s="110"/>
      <c r="F18" s="110"/>
      <c r="G18" s="110"/>
    </row>
    <row r="19" spans="1:7" ht="15.75" thickBot="1" x14ac:dyDescent="0.3">
      <c r="A19" s="128" t="s">
        <v>191</v>
      </c>
      <c r="B19" s="129"/>
      <c r="C19" s="129"/>
      <c r="D19" s="129"/>
      <c r="E19" s="129"/>
      <c r="F19" s="129"/>
      <c r="G19" s="130"/>
    </row>
    <row r="20" spans="1:7" ht="16.5" thickTop="1" thickBot="1" x14ac:dyDescent="0.3">
      <c r="A20" s="105" t="s">
        <v>192</v>
      </c>
      <c r="B20" s="131" t="s">
        <v>193</v>
      </c>
      <c r="C20" s="132"/>
      <c r="D20" s="106"/>
      <c r="E20" s="111"/>
      <c r="F20" s="106"/>
      <c r="G20" s="111"/>
    </row>
    <row r="21" spans="1:7" ht="15.75" thickBot="1" x14ac:dyDescent="0.3">
      <c r="A21" s="105" t="s">
        <v>194</v>
      </c>
      <c r="B21" s="140" t="s">
        <v>195</v>
      </c>
      <c r="C21" s="141"/>
      <c r="D21" s="106"/>
      <c r="E21" s="111"/>
      <c r="F21" s="106"/>
      <c r="G21" s="111"/>
    </row>
    <row r="22" spans="1:7" ht="15.75" thickBot="1" x14ac:dyDescent="0.3">
      <c r="A22" s="105" t="s">
        <v>196</v>
      </c>
      <c r="B22" s="140" t="s">
        <v>197</v>
      </c>
      <c r="C22" s="141"/>
      <c r="D22" s="106"/>
      <c r="E22" s="106"/>
      <c r="F22" s="106"/>
      <c r="G22" s="106"/>
    </row>
    <row r="23" spans="1:7" ht="15.75" thickBot="1" x14ac:dyDescent="0.3">
      <c r="A23" s="105" t="s">
        <v>198</v>
      </c>
      <c r="B23" s="140" t="s">
        <v>199</v>
      </c>
      <c r="C23" s="141"/>
      <c r="D23" s="106"/>
      <c r="E23" s="106"/>
      <c r="F23" s="106"/>
      <c r="G23" s="106"/>
    </row>
    <row r="24" spans="1:7" ht="15.75" thickBot="1" x14ac:dyDescent="0.3">
      <c r="A24" s="105" t="s">
        <v>200</v>
      </c>
      <c r="B24" s="140" t="s">
        <v>201</v>
      </c>
      <c r="C24" s="141"/>
      <c r="D24" s="106"/>
      <c r="E24" s="106"/>
      <c r="F24" s="106"/>
      <c r="G24" s="106"/>
    </row>
    <row r="25" spans="1:7" ht="15.75" thickBot="1" x14ac:dyDescent="0.3">
      <c r="A25" s="105" t="s">
        <v>202</v>
      </c>
      <c r="B25" s="140" t="s">
        <v>203</v>
      </c>
      <c r="C25" s="141"/>
      <c r="D25" s="106"/>
      <c r="E25" s="106"/>
      <c r="F25" s="106"/>
      <c r="G25" s="106"/>
    </row>
    <row r="26" spans="1:7" ht="15.75" thickBot="1" x14ac:dyDescent="0.3">
      <c r="A26" s="105" t="s">
        <v>204</v>
      </c>
      <c r="B26" s="140" t="s">
        <v>205</v>
      </c>
      <c r="C26" s="141"/>
      <c r="D26" s="106"/>
      <c r="E26" s="111"/>
      <c r="F26" s="106"/>
      <c r="G26" s="111"/>
    </row>
    <row r="27" spans="1:7" ht="15.75" thickBot="1" x14ac:dyDescent="0.3">
      <c r="A27" s="105" t="s">
        <v>206</v>
      </c>
      <c r="B27" s="140" t="s">
        <v>207</v>
      </c>
      <c r="C27" s="141"/>
      <c r="D27" s="106"/>
      <c r="E27" s="106"/>
      <c r="F27" s="106"/>
      <c r="G27" s="106"/>
    </row>
    <row r="28" spans="1:7" ht="15.75" thickBot="1" x14ac:dyDescent="0.3">
      <c r="A28" s="105" t="s">
        <v>208</v>
      </c>
      <c r="B28" s="140" t="s">
        <v>209</v>
      </c>
      <c r="C28" s="141"/>
      <c r="D28" s="106"/>
      <c r="E28" s="106"/>
      <c r="F28" s="106"/>
      <c r="G28" s="106"/>
    </row>
    <row r="29" spans="1:7" ht="15.75" thickBot="1" x14ac:dyDescent="0.3">
      <c r="A29" s="107" t="s">
        <v>210</v>
      </c>
      <c r="B29" s="133" t="s">
        <v>211</v>
      </c>
      <c r="C29" s="134"/>
      <c r="D29" s="108"/>
      <c r="E29" s="108"/>
      <c r="F29" s="108"/>
      <c r="G29" s="108"/>
    </row>
    <row r="30" spans="1:7" ht="16.5" thickTop="1" thickBot="1" x14ac:dyDescent="0.3">
      <c r="A30" s="109" t="s">
        <v>128</v>
      </c>
      <c r="B30" s="135" t="s">
        <v>190</v>
      </c>
      <c r="C30" s="136"/>
      <c r="D30" s="110"/>
      <c r="E30" s="110"/>
      <c r="F30" s="110"/>
      <c r="G30" s="110"/>
    </row>
    <row r="31" spans="1:7" ht="15.75" thickBot="1" x14ac:dyDescent="0.3">
      <c r="A31" s="128" t="s">
        <v>212</v>
      </c>
      <c r="B31" s="129"/>
      <c r="C31" s="129"/>
      <c r="D31" s="129"/>
      <c r="E31" s="129"/>
      <c r="F31" s="129"/>
      <c r="G31" s="130"/>
    </row>
    <row r="32" spans="1:7" ht="25.5" customHeight="1" thickTop="1" thickBot="1" x14ac:dyDescent="0.3">
      <c r="A32" s="105" t="s">
        <v>213</v>
      </c>
      <c r="B32" s="131" t="s">
        <v>214</v>
      </c>
      <c r="C32" s="132"/>
      <c r="D32" s="106"/>
      <c r="E32" s="106"/>
      <c r="F32" s="106"/>
      <c r="G32" s="106"/>
    </row>
    <row r="33" spans="1:7" ht="25.5" customHeight="1" thickBot="1" x14ac:dyDescent="0.3">
      <c r="A33" s="105" t="s">
        <v>215</v>
      </c>
      <c r="B33" s="140" t="s">
        <v>216</v>
      </c>
      <c r="C33" s="141"/>
      <c r="D33" s="106"/>
      <c r="E33" s="106"/>
      <c r="F33" s="106"/>
      <c r="G33" s="106"/>
    </row>
    <row r="34" spans="1:7" ht="15.75" thickBot="1" x14ac:dyDescent="0.3">
      <c r="A34" s="105" t="s">
        <v>217</v>
      </c>
      <c r="B34" s="140" t="s">
        <v>218</v>
      </c>
      <c r="C34" s="141"/>
      <c r="D34" s="106"/>
      <c r="E34" s="106"/>
      <c r="F34" s="106"/>
      <c r="G34" s="106"/>
    </row>
    <row r="35" spans="1:7" ht="25.5" customHeight="1" thickBot="1" x14ac:dyDescent="0.3">
      <c r="A35" s="105" t="s">
        <v>219</v>
      </c>
      <c r="B35" s="140" t="s">
        <v>220</v>
      </c>
      <c r="C35" s="141"/>
      <c r="D35" s="106"/>
      <c r="E35" s="106"/>
      <c r="F35" s="106"/>
      <c r="G35" s="106"/>
    </row>
    <row r="36" spans="1:7" ht="15.75" thickBot="1" x14ac:dyDescent="0.3">
      <c r="A36" s="107" t="s">
        <v>221</v>
      </c>
      <c r="B36" s="133" t="s">
        <v>222</v>
      </c>
      <c r="C36" s="134"/>
      <c r="D36" s="108"/>
      <c r="E36" s="108"/>
      <c r="F36" s="108"/>
      <c r="G36" s="108"/>
    </row>
    <row r="37" spans="1:7" ht="16.5" thickTop="1" thickBot="1" x14ac:dyDescent="0.3">
      <c r="A37" s="109" t="s">
        <v>129</v>
      </c>
      <c r="B37" s="135" t="s">
        <v>190</v>
      </c>
      <c r="C37" s="136"/>
      <c r="D37" s="110"/>
      <c r="E37" s="110"/>
      <c r="F37" s="110"/>
      <c r="G37" s="110"/>
    </row>
    <row r="38" spans="1:7" ht="15.75" thickBot="1" x14ac:dyDescent="0.3">
      <c r="A38" s="128" t="s">
        <v>223</v>
      </c>
      <c r="B38" s="129"/>
      <c r="C38" s="129"/>
      <c r="D38" s="129"/>
      <c r="E38" s="129"/>
      <c r="F38" s="129"/>
      <c r="G38" s="130"/>
    </row>
    <row r="39" spans="1:7" ht="25.5" customHeight="1" thickTop="1" thickBot="1" x14ac:dyDescent="0.3">
      <c r="A39" s="105" t="s">
        <v>224</v>
      </c>
      <c r="B39" s="131" t="s">
        <v>225</v>
      </c>
      <c r="C39" s="132"/>
      <c r="D39" s="106"/>
      <c r="E39" s="106"/>
      <c r="F39" s="106"/>
      <c r="G39" s="106"/>
    </row>
    <row r="40" spans="1:7" ht="32.25" customHeight="1" thickBot="1" x14ac:dyDescent="0.3">
      <c r="A40" s="107" t="s">
        <v>226</v>
      </c>
      <c r="B40" s="133" t="s">
        <v>227</v>
      </c>
      <c r="C40" s="134"/>
      <c r="D40" s="108"/>
      <c r="E40" s="108"/>
      <c r="F40" s="108"/>
      <c r="G40" s="108"/>
    </row>
    <row r="41" spans="1:7" ht="16.5" thickTop="1" thickBot="1" x14ac:dyDescent="0.3">
      <c r="A41" s="109" t="s">
        <v>228</v>
      </c>
      <c r="B41" s="135" t="s">
        <v>190</v>
      </c>
      <c r="C41" s="136"/>
      <c r="D41" s="110"/>
      <c r="E41" s="110"/>
      <c r="F41" s="110"/>
      <c r="G41" s="110"/>
    </row>
    <row r="42" spans="1:7" ht="15.75" thickBot="1" x14ac:dyDescent="0.3">
      <c r="A42" s="137" t="s">
        <v>229</v>
      </c>
      <c r="B42" s="138"/>
      <c r="C42" s="139"/>
      <c r="D42" s="110"/>
      <c r="E42" s="110"/>
      <c r="F42" s="110"/>
      <c r="G42" s="110"/>
    </row>
  </sheetData>
  <mergeCells count="43">
    <mergeCell ref="B13:C13"/>
    <mergeCell ref="D3:G3"/>
    <mergeCell ref="A4:G4"/>
    <mergeCell ref="A5:G5"/>
    <mergeCell ref="A6:A7"/>
    <mergeCell ref="B6:C7"/>
    <mergeCell ref="D6:E6"/>
    <mergeCell ref="F6:G6"/>
    <mergeCell ref="A8:G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A19:G19"/>
    <mergeCell ref="A42:C42"/>
    <mergeCell ref="B32:C32"/>
    <mergeCell ref="B33:C33"/>
    <mergeCell ref="B34:C34"/>
    <mergeCell ref="B35:C35"/>
    <mergeCell ref="B36:C36"/>
    <mergeCell ref="B37:C37"/>
    <mergeCell ref="A1:G1"/>
    <mergeCell ref="A38:G38"/>
    <mergeCell ref="B39:C39"/>
    <mergeCell ref="B40:C40"/>
    <mergeCell ref="B41:C41"/>
    <mergeCell ref="B26:C26"/>
    <mergeCell ref="B27:C27"/>
    <mergeCell ref="B28:C28"/>
    <mergeCell ref="B29:C29"/>
    <mergeCell ref="B30:C30"/>
    <mergeCell ref="A31:G31"/>
    <mergeCell ref="B20:C20"/>
    <mergeCell ref="B21:C21"/>
    <mergeCell ref="B22:C22"/>
    <mergeCell ref="B23:C23"/>
    <mergeCell ref="B24:C24"/>
  </mergeCells>
  <pageMargins left="0.511811024" right="0.511811024" top="0.78740157499999996" bottom="0.78740157499999996" header="0.31496062000000002" footer="0.31496062000000002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44"/>
  <sheetViews>
    <sheetView showGridLines="0" view="pageBreakPreview" zoomScaleNormal="100" zoomScaleSheetLayoutView="100" workbookViewId="0">
      <pane xSplit="3" ySplit="3" topLeftCell="D4" activePane="bottomRight" state="frozen"/>
      <selection activeCell="C23" sqref="C23"/>
      <selection pane="topRight" activeCell="C23" sqref="C23"/>
      <selection pane="bottomLeft" activeCell="C23" sqref="C23"/>
      <selection pane="bottomRight" activeCell="B1" sqref="B1:H1"/>
    </sheetView>
  </sheetViews>
  <sheetFormatPr defaultRowHeight="12.75" outlineLevelRow="1" x14ac:dyDescent="0.25"/>
  <cols>
    <col min="1" max="1" width="4.85546875" style="15" customWidth="1"/>
    <col min="2" max="2" width="7.5703125" style="11" customWidth="1"/>
    <col min="3" max="3" width="50" style="1" customWidth="1"/>
    <col min="4" max="4" width="8.42578125" style="11" customWidth="1"/>
    <col min="5" max="5" width="19.5703125" style="1" customWidth="1"/>
    <col min="6" max="6" width="11.5703125" style="11" bestFit="1" customWidth="1"/>
    <col min="7" max="7" width="12.85546875" style="11" bestFit="1" customWidth="1"/>
    <col min="8" max="8" width="17.5703125" style="11" customWidth="1"/>
    <col min="9" max="9" width="9.140625" style="1"/>
    <col min="10" max="10" width="14.28515625" style="1" bestFit="1" customWidth="1"/>
    <col min="11" max="11" width="18.140625" style="1" customWidth="1"/>
    <col min="12" max="16384" width="9.140625" style="1"/>
  </cols>
  <sheetData>
    <row r="1" spans="1:8" ht="95.25" customHeight="1" x14ac:dyDescent="0.25">
      <c r="B1" s="114" t="s">
        <v>130</v>
      </c>
      <c r="C1" s="114"/>
      <c r="D1" s="114"/>
      <c r="E1" s="114"/>
      <c r="F1" s="114"/>
      <c r="G1" s="114"/>
      <c r="H1" s="114"/>
    </row>
    <row r="2" spans="1:8" ht="10.5" customHeight="1" x14ac:dyDescent="0.25">
      <c r="E2" s="12"/>
    </row>
    <row r="3" spans="1:8" ht="31.5" customHeight="1" x14ac:dyDescent="0.25">
      <c r="B3" s="23" t="s">
        <v>20</v>
      </c>
      <c r="C3" s="23" t="s">
        <v>93</v>
      </c>
      <c r="D3" s="23" t="s">
        <v>92</v>
      </c>
      <c r="E3" s="31" t="s">
        <v>22</v>
      </c>
      <c r="F3" s="31" t="s">
        <v>103</v>
      </c>
      <c r="G3" s="31" t="s">
        <v>125</v>
      </c>
      <c r="H3" s="31" t="s">
        <v>127</v>
      </c>
    </row>
    <row r="4" spans="1:8" outlineLevel="1" x14ac:dyDescent="0.25">
      <c r="B4" s="64" t="s">
        <v>26</v>
      </c>
      <c r="C4" s="65" t="str">
        <f>VLOOKUP(B4,'Planilha Sintética'!$B$4:$H$45,2,0)</f>
        <v>Anteprojeto arquitetônico</v>
      </c>
      <c r="D4" s="66" t="s">
        <v>91</v>
      </c>
      <c r="E4" s="67">
        <f>VLOOKUP(B4,'Planilha Sintética'!$B$4:$H$45,6,0)</f>
        <v>186902.5</v>
      </c>
      <c r="F4" s="68">
        <f t="shared" ref="F4:F39" si="0">E4/$E$40</f>
        <v>0.17641306392205092</v>
      </c>
      <c r="G4" s="68">
        <f>F4</f>
        <v>0.17641306392205092</v>
      </c>
      <c r="H4" s="68" t="s">
        <v>126</v>
      </c>
    </row>
    <row r="5" spans="1:8" outlineLevel="1" x14ac:dyDescent="0.25">
      <c r="B5" s="66" t="s">
        <v>29</v>
      </c>
      <c r="C5" s="65" t="str">
        <f>VLOOKUP(B5,'Planilha Sintética'!$B$4:$H$45,2,0)</f>
        <v>Concepção Arquitetônica</v>
      </c>
      <c r="D5" s="66" t="s">
        <v>91</v>
      </c>
      <c r="E5" s="67">
        <f>VLOOKUP(B5,'Planilha Sintética'!$B$4:$H$45,6,0)</f>
        <v>111570.26</v>
      </c>
      <c r="F5" s="68">
        <f t="shared" si="0"/>
        <v>0.10530865777172504</v>
      </c>
      <c r="G5" s="68">
        <f t="shared" ref="G5:G39" si="1">F5+G4</f>
        <v>0.28172172169377596</v>
      </c>
      <c r="H5" s="68" t="s">
        <v>126</v>
      </c>
    </row>
    <row r="6" spans="1:8" outlineLevel="1" x14ac:dyDescent="0.25">
      <c r="B6" s="66" t="s">
        <v>28</v>
      </c>
      <c r="C6" s="65" t="str">
        <f>VLOOKUP(B6,'Planilha Sintética'!$B$4:$H$45,2,0)</f>
        <v>Viabilidade Técnica do Empreendimento</v>
      </c>
      <c r="D6" s="66" t="s">
        <v>91</v>
      </c>
      <c r="E6" s="67">
        <f>VLOOKUP(B6,'Planilha Sintética'!$B$4:$H$45,6,0)</f>
        <v>60000</v>
      </c>
      <c r="F6" s="68">
        <f t="shared" si="0"/>
        <v>5.66326498325226E-2</v>
      </c>
      <c r="G6" s="68">
        <f t="shared" si="1"/>
        <v>0.33835437152629855</v>
      </c>
      <c r="H6" s="68" t="s">
        <v>126</v>
      </c>
    </row>
    <row r="7" spans="1:8" outlineLevel="1" x14ac:dyDescent="0.25">
      <c r="B7" s="66" t="s">
        <v>30</v>
      </c>
      <c r="C7" s="65" t="str">
        <f>VLOOKUP(B7,'Planilha Sintética'!$B$4:$H$45,2,0)</f>
        <v>Soluções de Engenharia</v>
      </c>
      <c r="D7" s="66" t="s">
        <v>91</v>
      </c>
      <c r="E7" s="67">
        <f>VLOOKUP(B7,'Planilha Sintética'!$B$4:$H$45,6,0)</f>
        <v>59000</v>
      </c>
      <c r="F7" s="68">
        <f t="shared" si="0"/>
        <v>5.5688772335313892E-2</v>
      </c>
      <c r="G7" s="68">
        <f t="shared" si="1"/>
        <v>0.39404314386161243</v>
      </c>
      <c r="H7" s="68" t="s">
        <v>126</v>
      </c>
    </row>
    <row r="8" spans="1:8" outlineLevel="1" x14ac:dyDescent="0.25">
      <c r="B8" s="64" t="s">
        <v>60</v>
      </c>
      <c r="C8" s="65" t="str">
        <f>VLOOKUP(B8,'Planilha Sintética'!$B$4:$H$45,2,0)</f>
        <v>Anteprojeto de supraestrutura</v>
      </c>
      <c r="D8" s="66" t="s">
        <v>91</v>
      </c>
      <c r="E8" s="67">
        <f>VLOOKUP(B8,'Planilha Sintética'!$B$4:$H$45,6,0)</f>
        <v>58000</v>
      </c>
      <c r="F8" s="68">
        <f t="shared" si="0"/>
        <v>5.4744894838105178E-2</v>
      </c>
      <c r="G8" s="68">
        <f t="shared" si="1"/>
        <v>0.44878803869971762</v>
      </c>
      <c r="H8" s="68" t="s">
        <v>126</v>
      </c>
    </row>
    <row r="9" spans="1:8" s="13" customFormat="1" ht="21.75" customHeight="1" outlineLevel="1" collapsed="1" x14ac:dyDescent="0.25">
      <c r="A9" s="16"/>
      <c r="B9" s="64" t="s">
        <v>67</v>
      </c>
      <c r="C9" s="65" t="str">
        <f>VLOOKUP(B9,'Planilha Sintética'!$B$4:$H$45,2,0)</f>
        <v>Anteprojeto de instalações elétricas</v>
      </c>
      <c r="D9" s="66" t="s">
        <v>91</v>
      </c>
      <c r="E9" s="67">
        <f>VLOOKUP(B9,'Planilha Sintética'!$B$4:$H$45,6,0)</f>
        <v>49149.03</v>
      </c>
      <c r="F9" s="68">
        <f t="shared" si="0"/>
        <v>4.6390663426635802E-2</v>
      </c>
      <c r="G9" s="68">
        <f t="shared" si="1"/>
        <v>0.4951787021263534</v>
      </c>
      <c r="H9" s="68" t="s">
        <v>129</v>
      </c>
    </row>
    <row r="10" spans="1:8" ht="21.75" customHeight="1" outlineLevel="1" x14ac:dyDescent="0.25">
      <c r="B10" s="66" t="s">
        <v>23</v>
      </c>
      <c r="C10" s="65" t="str">
        <f>VLOOKUP(B10,'Planilha Sintética'!$B$4:$H$45,2,0)</f>
        <v>Sondagem a percussão (SPT)</v>
      </c>
      <c r="D10" s="66" t="s">
        <v>102</v>
      </c>
      <c r="E10" s="67">
        <f>VLOOKUP(B10,'Planilha Sintética'!$B$4:$H$45,6,0)</f>
        <v>45774.164289096414</v>
      </c>
      <c r="F10" s="68">
        <f t="shared" si="0"/>
        <v>4.3205203626012635E-2</v>
      </c>
      <c r="G10" s="68">
        <f t="shared" si="1"/>
        <v>0.53838390575236605</v>
      </c>
      <c r="H10" s="68" t="s">
        <v>126</v>
      </c>
    </row>
    <row r="11" spans="1:8" ht="21.75" customHeight="1" outlineLevel="1" x14ac:dyDescent="0.25">
      <c r="B11" s="64" t="s">
        <v>61</v>
      </c>
      <c r="C11" s="65" t="str">
        <f>VLOOKUP(B11,'Planilha Sintética'!$B$4:$H$45,2,0)</f>
        <v>Anteprojeto de cobertura</v>
      </c>
      <c r="D11" s="66" t="s">
        <v>91</v>
      </c>
      <c r="E11" s="67">
        <f>VLOOKUP(B11,'Planilha Sintética'!$B$4:$H$45,6,0)</f>
        <v>33446.235000000001</v>
      </c>
      <c r="F11" s="68">
        <f t="shared" si="0"/>
        <v>3.156914858285436E-2</v>
      </c>
      <c r="G11" s="68">
        <f t="shared" si="1"/>
        <v>0.56995305433522037</v>
      </c>
      <c r="H11" s="68" t="s">
        <v>128</v>
      </c>
    </row>
    <row r="12" spans="1:8" ht="21.75" customHeight="1" outlineLevel="1" x14ac:dyDescent="0.25">
      <c r="B12" s="66" t="s">
        <v>0</v>
      </c>
      <c r="C12" s="65" t="str">
        <f>VLOOKUP(B12,'Planilha Sintética'!$B$4:$H$45,2,0)</f>
        <v>Diagnóstico</v>
      </c>
      <c r="D12" s="66" t="s">
        <v>91</v>
      </c>
      <c r="E12" s="67">
        <f>VLOOKUP(B12,'Planilha Sintética'!$B$4:$H$45,6,0)</f>
        <v>31850</v>
      </c>
      <c r="F12" s="68">
        <f t="shared" si="0"/>
        <v>3.0062498286097413E-2</v>
      </c>
      <c r="G12" s="68">
        <f t="shared" si="1"/>
        <v>0.60001555262131778</v>
      </c>
      <c r="H12" s="68" t="s">
        <v>126</v>
      </c>
    </row>
    <row r="13" spans="1:8" ht="21.75" customHeight="1" outlineLevel="1" x14ac:dyDescent="0.25">
      <c r="B13" s="64" t="s">
        <v>70</v>
      </c>
      <c r="C13" s="65" t="str">
        <f>VLOOKUP(B13,'Planilha Sintética'!$B$4:$H$45,2,0)</f>
        <v>Anteprojeto de sinalização</v>
      </c>
      <c r="D13" s="66" t="s">
        <v>91</v>
      </c>
      <c r="E13" s="67">
        <f>VLOOKUP(B13,'Planilha Sintética'!$B$4:$H$45,6,0)</f>
        <v>31850</v>
      </c>
      <c r="F13" s="68">
        <f t="shared" si="0"/>
        <v>3.0062498286097413E-2</v>
      </c>
      <c r="G13" s="68">
        <f t="shared" si="1"/>
        <v>0.6300780509074152</v>
      </c>
      <c r="H13" s="68" t="s">
        <v>126</v>
      </c>
    </row>
    <row r="14" spans="1:8" ht="21.75" customHeight="1" outlineLevel="1" x14ac:dyDescent="0.25">
      <c r="B14" s="64" t="s">
        <v>69</v>
      </c>
      <c r="C14" s="65" t="str">
        <f>VLOOKUP(B14,'Planilha Sintética'!$B$4:$H$45,2,0)</f>
        <v>Anteprojeto de instalações hidrossanitárias</v>
      </c>
      <c r="D14" s="66" t="s">
        <v>91</v>
      </c>
      <c r="E14" s="67">
        <f>VLOOKUP(B14,'Planilha Sintética'!$B$4:$H$45,6,0)</f>
        <v>30030</v>
      </c>
      <c r="F14" s="68">
        <f t="shared" si="0"/>
        <v>2.8344641241177561E-2</v>
      </c>
      <c r="G14" s="68">
        <f t="shared" si="1"/>
        <v>0.65842269214859273</v>
      </c>
      <c r="H14" s="68" t="s">
        <v>126</v>
      </c>
    </row>
    <row r="15" spans="1:8" ht="21.75" customHeight="1" outlineLevel="1" x14ac:dyDescent="0.25">
      <c r="B15" s="64" t="s">
        <v>81</v>
      </c>
      <c r="C15" s="65" t="str">
        <f>VLOOKUP(B15,'Planilha Sintética'!$B$4:$H$45,2,0)</f>
        <v>Anteprojeto de obra-de-arte especial</v>
      </c>
      <c r="D15" s="66" t="s">
        <v>91</v>
      </c>
      <c r="E15" s="67">
        <f>VLOOKUP(B15,'Planilha Sintética'!$B$4:$H$45,6,0)</f>
        <v>29461.040000000001</v>
      </c>
      <c r="F15" s="68">
        <f t="shared" si="0"/>
        <v>2.7807612700365695E-2</v>
      </c>
      <c r="G15" s="68">
        <f t="shared" si="1"/>
        <v>0.68623030484895842</v>
      </c>
      <c r="H15" s="68" t="s">
        <v>129</v>
      </c>
    </row>
    <row r="16" spans="1:8" ht="21.75" customHeight="1" outlineLevel="1" x14ac:dyDescent="0.25">
      <c r="B16" s="69" t="s">
        <v>58</v>
      </c>
      <c r="C16" s="70" t="str">
        <f>VLOOKUP(B16,'Planilha Sintética'!$B$4:$H$45,2,0)</f>
        <v>Anteprojeto de infraesturutra</v>
      </c>
      <c r="D16" s="71" t="s">
        <v>91</v>
      </c>
      <c r="E16" s="72">
        <f>VLOOKUP(B16,'Planilha Sintética'!$B$4:$H$45,6,0)</f>
        <v>29164.994999999999</v>
      </c>
      <c r="F16" s="73">
        <f t="shared" si="0"/>
        <v>2.752818248670454E-2</v>
      </c>
      <c r="G16" s="73">
        <f t="shared" si="1"/>
        <v>0.71375848733566294</v>
      </c>
      <c r="H16" s="73" t="s">
        <v>126</v>
      </c>
    </row>
    <row r="17" spans="1:11" ht="21.75" customHeight="1" outlineLevel="1" x14ac:dyDescent="0.25">
      <c r="B17" s="69" t="s">
        <v>75</v>
      </c>
      <c r="C17" s="70" t="str">
        <f>VLOOKUP(B17,'Planilha Sintética'!$B$4:$H$45,2,0)</f>
        <v>Anteprojeto de prevenção e combate a incêndio</v>
      </c>
      <c r="D17" s="71" t="s">
        <v>91</v>
      </c>
      <c r="E17" s="72">
        <f>VLOOKUP(B17,'Planilha Sintética'!$B$4:$H$45,6,0)</f>
        <v>27300</v>
      </c>
      <c r="F17" s="73">
        <f t="shared" si="0"/>
        <v>2.5767855673797784E-2</v>
      </c>
      <c r="G17" s="73">
        <f t="shared" si="1"/>
        <v>0.73952634300946074</v>
      </c>
      <c r="H17" s="73" t="s">
        <v>128</v>
      </c>
    </row>
    <row r="18" spans="1:11" ht="21.75" customHeight="1" outlineLevel="1" x14ac:dyDescent="0.25">
      <c r="B18" s="69" t="s">
        <v>63</v>
      </c>
      <c r="C18" s="70" t="str">
        <f>VLOOKUP(B18,'Planilha Sintética'!$B$4:$H$45,2,0)</f>
        <v>Anteprojeto de pavimentação</v>
      </c>
      <c r="D18" s="71" t="s">
        <v>91</v>
      </c>
      <c r="E18" s="72">
        <f>VLOOKUP(B18,'Planilha Sintética'!$B$4:$H$45,6,0)</f>
        <v>26188.985000000001</v>
      </c>
      <c r="F18" s="73">
        <f t="shared" si="0"/>
        <v>2.4719193616236448E-2</v>
      </c>
      <c r="G18" s="73">
        <f t="shared" si="1"/>
        <v>0.76424553662569716</v>
      </c>
      <c r="H18" s="73" t="s">
        <v>126</v>
      </c>
    </row>
    <row r="19" spans="1:11" ht="21.75" customHeight="1" outlineLevel="1" x14ac:dyDescent="0.25">
      <c r="B19" s="69" t="s">
        <v>83</v>
      </c>
      <c r="C19" s="70" t="str">
        <f>VLOOKUP(B19,'Planilha Sintética'!$B$4:$H$45,2,0)</f>
        <v>Anteprojeto do sistema viário</v>
      </c>
      <c r="D19" s="71" t="s">
        <v>91</v>
      </c>
      <c r="E19" s="72">
        <f>VLOOKUP(B19,'Planilha Sintética'!$B$4:$H$45,6,0)</f>
        <v>26000</v>
      </c>
      <c r="F19" s="73">
        <f t="shared" si="0"/>
        <v>2.454081492742646E-2</v>
      </c>
      <c r="G19" s="73">
        <f t="shared" si="1"/>
        <v>0.7887863515531236</v>
      </c>
      <c r="H19" s="73" t="s">
        <v>129</v>
      </c>
    </row>
    <row r="20" spans="1:11" s="13" customFormat="1" ht="21.75" customHeight="1" outlineLevel="1" x14ac:dyDescent="0.25">
      <c r="A20" s="16"/>
      <c r="B20" s="69" t="s">
        <v>71</v>
      </c>
      <c r="C20" s="70" t="str">
        <f>VLOOKUP(B20,'Planilha Sintética'!$B$4:$H$45,2,0)</f>
        <v>Anteprojeto de comunicação visual</v>
      </c>
      <c r="D20" s="71" t="s">
        <v>91</v>
      </c>
      <c r="E20" s="72">
        <f>VLOOKUP(B20,'Planilha Sintética'!$B$4:$H$45,6,0)</f>
        <v>25050</v>
      </c>
      <c r="F20" s="73">
        <f t="shared" si="0"/>
        <v>2.3644131305078187E-2</v>
      </c>
      <c r="G20" s="73">
        <f t="shared" si="1"/>
        <v>0.81243048285820174</v>
      </c>
      <c r="H20" s="73" t="s">
        <v>129</v>
      </c>
    </row>
    <row r="21" spans="1:11" ht="21.75" customHeight="1" outlineLevel="1" x14ac:dyDescent="0.25">
      <c r="B21" s="74" t="s">
        <v>77</v>
      </c>
      <c r="C21" s="75" t="str">
        <f>VLOOKUP(B21,'Planilha Sintética'!$B$4:$H$45,2,0)</f>
        <v>Anteprojeto fotovoltaico</v>
      </c>
      <c r="D21" s="76" t="s">
        <v>91</v>
      </c>
      <c r="E21" s="77">
        <f>VLOOKUP(B21,'Planilha Sintética'!$B$4:$H$45,6,0)</f>
        <v>21052.525000000001</v>
      </c>
      <c r="F21" s="78">
        <f t="shared" si="0"/>
        <v>1.9871004606923801E-2</v>
      </c>
      <c r="G21" s="78">
        <f t="shared" si="1"/>
        <v>0.83230148746512556</v>
      </c>
      <c r="H21" s="78" t="s">
        <v>129</v>
      </c>
      <c r="J21" s="33"/>
      <c r="K21" s="33"/>
    </row>
    <row r="22" spans="1:11" ht="21.75" customHeight="1" outlineLevel="1" x14ac:dyDescent="0.25">
      <c r="B22" s="74" t="s">
        <v>98</v>
      </c>
      <c r="C22" s="75" t="str">
        <f>VLOOKUP(B22,'Planilha Sintética'!$B$4:$H$45,2,0)</f>
        <v>Orçamento</v>
      </c>
      <c r="D22" s="76" t="s">
        <v>91</v>
      </c>
      <c r="E22" s="77">
        <f>VLOOKUP(B22,'Planilha Sintética'!$B$4:$H$45,6,0)</f>
        <v>19750.810000000001</v>
      </c>
      <c r="F22" s="78">
        <f t="shared" si="0"/>
        <v>1.8642345110644762E-2</v>
      </c>
      <c r="G22" s="78">
        <f t="shared" si="1"/>
        <v>0.85094383257577033</v>
      </c>
      <c r="H22" s="78" t="s">
        <v>126</v>
      </c>
      <c r="J22" s="33"/>
      <c r="K22" s="33"/>
    </row>
    <row r="23" spans="1:11" ht="21.75" customHeight="1" outlineLevel="1" x14ac:dyDescent="0.25">
      <c r="B23" s="74" t="s">
        <v>100</v>
      </c>
      <c r="C23" s="75" t="str">
        <f>VLOOKUP(B23,'Planilha Sintética'!$B$4:$H$45,2,0)</f>
        <v>Plano de Implantação</v>
      </c>
      <c r="D23" s="76" t="s">
        <v>91</v>
      </c>
      <c r="E23" s="77">
        <f>VLOOKUP(B23,'Planilha Sintética'!$B$4:$H$45,6,0)</f>
        <v>19575</v>
      </c>
      <c r="F23" s="78">
        <f t="shared" si="0"/>
        <v>1.84764020078605E-2</v>
      </c>
      <c r="G23" s="78">
        <f t="shared" si="1"/>
        <v>0.86942023458363082</v>
      </c>
      <c r="H23" s="78" t="s">
        <v>128</v>
      </c>
      <c r="J23" s="33"/>
      <c r="K23" s="33"/>
    </row>
    <row r="24" spans="1:11" ht="21.75" customHeight="1" outlineLevel="1" x14ac:dyDescent="0.25">
      <c r="B24" s="74" t="s">
        <v>73</v>
      </c>
      <c r="C24" s="75" t="str">
        <f>VLOOKUP(B24,'Planilha Sintética'!$B$4:$H$45,2,0)</f>
        <v>Anteprojeto de climatização</v>
      </c>
      <c r="D24" s="76" t="s">
        <v>91</v>
      </c>
      <c r="E24" s="77">
        <f>VLOOKUP(B24,'Planilha Sintética'!$B$4:$H$45,6,0)</f>
        <v>19250</v>
      </c>
      <c r="F24" s="78">
        <f t="shared" si="0"/>
        <v>1.8169641821267669E-2</v>
      </c>
      <c r="G24" s="78">
        <f t="shared" si="1"/>
        <v>0.8875898764048985</v>
      </c>
      <c r="H24" s="78" t="s">
        <v>129</v>
      </c>
      <c r="J24" s="33"/>
      <c r="K24" s="33"/>
    </row>
    <row r="25" spans="1:11" ht="21.75" customHeight="1" outlineLevel="1" x14ac:dyDescent="0.25">
      <c r="B25" s="74" t="s">
        <v>79</v>
      </c>
      <c r="C25" s="75" t="str">
        <f>VLOOKUP(B25,'Planilha Sintética'!$B$4:$H$45,2,0)</f>
        <v>Plano de Demolição</v>
      </c>
      <c r="D25" s="76" t="s">
        <v>91</v>
      </c>
      <c r="E25" s="77">
        <f>VLOOKUP(B25,'Planilha Sintética'!$B$4:$H$45,6,0)</f>
        <v>18200</v>
      </c>
      <c r="F25" s="78">
        <f t="shared" si="0"/>
        <v>1.7178570449198523E-2</v>
      </c>
      <c r="G25" s="78">
        <f t="shared" si="1"/>
        <v>0.90476844685409707</v>
      </c>
      <c r="H25" s="78" t="s">
        <v>129</v>
      </c>
      <c r="J25" s="33"/>
      <c r="K25" s="33"/>
    </row>
    <row r="26" spans="1:11" ht="21.75" customHeight="1" outlineLevel="1" x14ac:dyDescent="0.25">
      <c r="B26" s="74" t="s">
        <v>65</v>
      </c>
      <c r="C26" s="75" t="str">
        <f>VLOOKUP(B26,'Planilha Sintética'!$B$4:$H$45,2,0)</f>
        <v>Anteprojeto de drenagem e contenção de cheias</v>
      </c>
      <c r="D26" s="76" t="s">
        <v>91</v>
      </c>
      <c r="E26" s="77">
        <f>VLOOKUP(B26,'Planilha Sintética'!$B$4:$H$45,6,0)</f>
        <v>16265</v>
      </c>
      <c r="F26" s="78">
        <f t="shared" si="0"/>
        <v>1.5352167492099668E-2</v>
      </c>
      <c r="G26" s="78">
        <f t="shared" si="1"/>
        <v>0.92012061434619674</v>
      </c>
      <c r="H26" s="78" t="s">
        <v>128</v>
      </c>
      <c r="J26" s="33"/>
      <c r="K26" s="33"/>
    </row>
    <row r="27" spans="1:11" ht="21.75" customHeight="1" outlineLevel="1" x14ac:dyDescent="0.25">
      <c r="B27" s="74" t="s">
        <v>56</v>
      </c>
      <c r="C27" s="75" t="str">
        <f>VLOOKUP(B27,'Planilha Sintética'!$B$4:$H$45,2,0)</f>
        <v>Anteprojeto de terraplenagem</v>
      </c>
      <c r="D27" s="76" t="s">
        <v>91</v>
      </c>
      <c r="E27" s="77">
        <f>VLOOKUP(B27,'Planilha Sintética'!$B$4:$H$45,6,0)</f>
        <v>15766.83</v>
      </c>
      <c r="F27" s="78">
        <f t="shared" si="0"/>
        <v>1.4881956039315206E-2</v>
      </c>
      <c r="G27" s="78">
        <f t="shared" si="1"/>
        <v>0.93500257038551193</v>
      </c>
      <c r="H27" s="78" t="s">
        <v>129</v>
      </c>
      <c r="J27" s="33"/>
      <c r="K27" s="33"/>
    </row>
    <row r="28" spans="1:11" ht="21.75" customHeight="1" outlineLevel="1" x14ac:dyDescent="0.25">
      <c r="B28" s="76" t="s">
        <v>25</v>
      </c>
      <c r="C28" s="75" t="str">
        <f>VLOOKUP(B28,'Planilha Sintética'!$B$4:$H$45,2,0)</f>
        <v>Estudos hidrológicos</v>
      </c>
      <c r="D28" s="76" t="s">
        <v>91</v>
      </c>
      <c r="E28" s="77">
        <f>VLOOKUP(B28,'Planilha Sintética'!$B$4:$H$45,6,0)</f>
        <v>13979.02</v>
      </c>
      <c r="F28" s="78">
        <f t="shared" si="0"/>
        <v>1.3194482411030502E-2</v>
      </c>
      <c r="G28" s="78">
        <f t="shared" si="1"/>
        <v>0.94819705279654243</v>
      </c>
      <c r="H28" s="78" t="s">
        <v>129</v>
      </c>
      <c r="J28" s="33"/>
      <c r="K28" s="33"/>
    </row>
    <row r="29" spans="1:11" ht="21.75" customHeight="1" outlineLevel="1" x14ac:dyDescent="0.25">
      <c r="B29" s="76" t="s">
        <v>1</v>
      </c>
      <c r="C29" s="75" t="str">
        <f>VLOOKUP(B29,'Planilha Sintética'!$B$4:$H$45,2,0)</f>
        <v>Levantamento topográfico planialtimétrico</v>
      </c>
      <c r="D29" s="76" t="s">
        <v>101</v>
      </c>
      <c r="E29" s="77">
        <f>VLOOKUP(B29,'Planilha Sintética'!$B$4:$H$45,6,0)</f>
        <v>12800.09</v>
      </c>
      <c r="F29" s="78">
        <f t="shared" si="0"/>
        <v>1.2081716913246237E-2</v>
      </c>
      <c r="G29" s="78">
        <f t="shared" si="1"/>
        <v>0.96027876970978865</v>
      </c>
      <c r="H29" s="78" t="s">
        <v>129</v>
      </c>
      <c r="J29" s="33"/>
      <c r="K29" s="33"/>
    </row>
    <row r="30" spans="1:11" ht="21.75" customHeight="1" outlineLevel="1" x14ac:dyDescent="0.25">
      <c r="B30" s="76" t="s">
        <v>53</v>
      </c>
      <c r="C30" s="75" t="str">
        <f>VLOOKUP(B30,'Planilha Sintética'!$B$4:$H$45,2,0)</f>
        <v>Ensaio de compressão triaxial</v>
      </c>
      <c r="D30" s="76" t="s">
        <v>91</v>
      </c>
      <c r="E30" s="77">
        <f>VLOOKUP(B30,'Planilha Sintética'!$B$4:$H$45,6,0)</f>
        <v>10440</v>
      </c>
      <c r="F30" s="78">
        <f t="shared" si="0"/>
        <v>9.8540810708589322E-3</v>
      </c>
      <c r="G30" s="78">
        <f t="shared" si="1"/>
        <v>0.97013285078064759</v>
      </c>
      <c r="H30" s="78" t="s">
        <v>129</v>
      </c>
      <c r="J30" s="33"/>
      <c r="K30" s="33"/>
    </row>
    <row r="31" spans="1:11" ht="21.75" customHeight="1" outlineLevel="1" x14ac:dyDescent="0.25">
      <c r="B31" s="76" t="s">
        <v>51</v>
      </c>
      <c r="C31" s="75" t="str">
        <f>VLOOKUP(B31,'Planilha Sintética'!$B$4:$H$45,2,0)</f>
        <v>Ensaio de compactação, índice suporte Califórnia (ISC) e expansão na energia normal</v>
      </c>
      <c r="D31" s="76" t="s">
        <v>91</v>
      </c>
      <c r="E31" s="77">
        <f>VLOOKUP(B31,'Planilha Sintética'!$B$4:$H$45,6,0)</f>
        <v>8218.2723860636506</v>
      </c>
      <c r="F31" s="78">
        <f t="shared" si="0"/>
        <v>7.7570423711372117E-3</v>
      </c>
      <c r="G31" s="78">
        <f t="shared" si="1"/>
        <v>0.97788989315178476</v>
      </c>
      <c r="H31" s="78" t="s">
        <v>129</v>
      </c>
      <c r="J31" s="33"/>
      <c r="K31" s="33"/>
    </row>
    <row r="32" spans="1:11" ht="21.75" customHeight="1" outlineLevel="1" x14ac:dyDescent="0.25">
      <c r="B32" s="76" t="s">
        <v>40</v>
      </c>
      <c r="C32" s="75" t="str">
        <f>VLOOKUP(B32,'Planilha Sintética'!$B$4:$H$45,2,0)</f>
        <v>Ensaio de massa específica "in situ"</v>
      </c>
      <c r="D32" s="76" t="s">
        <v>91</v>
      </c>
      <c r="E32" s="77">
        <f>VLOOKUP(B32,'Planilha Sintética'!$B$4:$H$45,6,0)</f>
        <v>4143.66</v>
      </c>
      <c r="F32" s="78">
        <f t="shared" si="0"/>
        <v>3.9111074300838431E-3</v>
      </c>
      <c r="G32" s="78">
        <f t="shared" si="1"/>
        <v>0.98180100058186859</v>
      </c>
      <c r="H32" s="78" t="s">
        <v>129</v>
      </c>
      <c r="J32" s="33"/>
      <c r="K32" s="33"/>
    </row>
    <row r="33" spans="1:11" ht="21.75" customHeight="1" outlineLevel="1" x14ac:dyDescent="0.25">
      <c r="B33" s="76" t="s">
        <v>38</v>
      </c>
      <c r="C33" s="75" t="str">
        <f>VLOOKUP(B33,'Planilha Sintética'!$B$4:$H$45,2,0)</f>
        <v>Ensaio de umidade "in situ"</v>
      </c>
      <c r="D33" s="76" t="s">
        <v>91</v>
      </c>
      <c r="E33" s="77">
        <f>VLOOKUP(B33,'Planilha Sintética'!$B$4:$H$45,6,0)</f>
        <v>3338.0369847783977</v>
      </c>
      <c r="F33" s="78">
        <f t="shared" si="0"/>
        <v>3.1506979947827428E-3</v>
      </c>
      <c r="G33" s="78">
        <f t="shared" si="1"/>
        <v>0.98495169857665132</v>
      </c>
      <c r="H33" s="78" t="s">
        <v>129</v>
      </c>
      <c r="J33" s="33"/>
      <c r="K33" s="33"/>
    </row>
    <row r="34" spans="1:11" ht="21.75" customHeight="1" outlineLevel="1" x14ac:dyDescent="0.25">
      <c r="B34" s="76" t="s">
        <v>43</v>
      </c>
      <c r="C34" s="75" t="str">
        <f>VLOOKUP(B34,'Planilha Sintética'!$B$4:$H$45,2,0)</f>
        <v>Ensaio de granulometria por peneiramento</v>
      </c>
      <c r="D34" s="76" t="s">
        <v>91</v>
      </c>
      <c r="E34" s="77">
        <f>VLOOKUP(B34,'Planilha Sintética'!$B$4:$H$45,6,0)</f>
        <v>2926.5809881609757</v>
      </c>
      <c r="F34" s="78">
        <f t="shared" si="0"/>
        <v>2.7623339384839751E-3</v>
      </c>
      <c r="G34" s="78">
        <f t="shared" si="1"/>
        <v>0.98771403251513534</v>
      </c>
      <c r="H34" s="78" t="s">
        <v>129</v>
      </c>
      <c r="J34" s="33"/>
      <c r="K34" s="33"/>
    </row>
    <row r="35" spans="1:11" ht="21.75" customHeight="1" outlineLevel="1" x14ac:dyDescent="0.25">
      <c r="B35" s="76" t="s">
        <v>42</v>
      </c>
      <c r="C35" s="75" t="str">
        <f>VLOOKUP(B35,'Planilha Sintética'!$B$4:$H$45,2,0)</f>
        <v>Ensaio de granulometria por sedimentação</v>
      </c>
      <c r="D35" s="76" t="s">
        <v>91</v>
      </c>
      <c r="E35" s="77">
        <f>VLOOKUP(B35,'Planilha Sintética'!$B$4:$H$45,6,0)</f>
        <v>2877.5314815649685</v>
      </c>
      <c r="F35" s="78">
        <f t="shared" si="0"/>
        <v>2.7160372129588139E-3</v>
      </c>
      <c r="G35" s="78">
        <f t="shared" si="1"/>
        <v>0.99043006972809411</v>
      </c>
      <c r="H35" s="78" t="s">
        <v>129</v>
      </c>
      <c r="J35" s="33"/>
      <c r="K35" s="33"/>
    </row>
    <row r="36" spans="1:11" ht="21.75" customHeight="1" outlineLevel="1" x14ac:dyDescent="0.25">
      <c r="B36" s="76" t="s">
        <v>24</v>
      </c>
      <c r="C36" s="75" t="str">
        <f>VLOOKUP(B36,'Planilha Sintética'!$B$4:$H$45,2,0)</f>
        <v>Sondagem a trado (ST)</v>
      </c>
      <c r="D36" s="76" t="s">
        <v>102</v>
      </c>
      <c r="E36" s="77">
        <f>VLOOKUP(B36,'Planilha Sintética'!$B$4:$H$45,6,0)</f>
        <v>2678.4337309729972</v>
      </c>
      <c r="F36" s="78">
        <f t="shared" si="0"/>
        <v>2.52811332643018E-3</v>
      </c>
      <c r="G36" s="78">
        <f t="shared" si="1"/>
        <v>0.99295818305452432</v>
      </c>
      <c r="H36" s="78" t="s">
        <v>129</v>
      </c>
      <c r="J36" s="33"/>
      <c r="K36" s="33"/>
    </row>
    <row r="37" spans="1:11" ht="21.75" customHeight="1" outlineLevel="1" x14ac:dyDescent="0.25">
      <c r="B37" s="76" t="s">
        <v>45</v>
      </c>
      <c r="C37" s="75" t="str">
        <f>VLOOKUP(B37,'Planilha Sintética'!$B$4:$H$45,2,0)</f>
        <v>Ensaio de massa específica dos grãos</v>
      </c>
      <c r="D37" s="76" t="s">
        <v>91</v>
      </c>
      <c r="E37" s="77">
        <f>VLOOKUP(B37,'Planilha Sintética'!$B$4:$H$45,6,0)</f>
        <v>2549.94</v>
      </c>
      <c r="F37" s="78">
        <f t="shared" si="0"/>
        <v>2.4068309852323779E-3</v>
      </c>
      <c r="G37" s="78">
        <f t="shared" si="1"/>
        <v>0.99536501403975675</v>
      </c>
      <c r="H37" s="78" t="s">
        <v>129</v>
      </c>
      <c r="J37" s="33"/>
      <c r="K37" s="33"/>
    </row>
    <row r="38" spans="1:11" ht="21.75" customHeight="1" outlineLevel="1" x14ac:dyDescent="0.25">
      <c r="B38" s="76" t="s">
        <v>49</v>
      </c>
      <c r="C38" s="75" t="str">
        <f>VLOOKUP(B38,'Planilha Sintética'!$B$4:$H$45,2,0)</f>
        <v>Ensaio de limite de plasticidade (LP)</v>
      </c>
      <c r="D38" s="76" t="s">
        <v>91</v>
      </c>
      <c r="E38" s="77">
        <f>VLOOKUP(B38,'Planilha Sintética'!$B$4:$H$45,6,0)</f>
        <v>2455.29</v>
      </c>
      <c r="F38" s="78">
        <f t="shared" si="0"/>
        <v>2.3174929801215737E-3</v>
      </c>
      <c r="G38" s="78">
        <f t="shared" si="1"/>
        <v>0.99768250701987837</v>
      </c>
      <c r="H38" s="78" t="s">
        <v>129</v>
      </c>
      <c r="J38" s="33"/>
      <c r="K38" s="33"/>
    </row>
    <row r="39" spans="1:11" ht="21.75" customHeight="1" outlineLevel="1" x14ac:dyDescent="0.25">
      <c r="B39" s="76" t="s">
        <v>47</v>
      </c>
      <c r="C39" s="75" t="str">
        <f>VLOOKUP(B39,'Planilha Sintética'!$B$4:$H$45,2,0)</f>
        <v>Ensaio de limite de liquidez (LL)</v>
      </c>
      <c r="D39" s="76" t="s">
        <v>91</v>
      </c>
      <c r="E39" s="77">
        <f>VLOOKUP(B39,'Planilha Sintética'!$B$4:$H$45,6,0)</f>
        <v>2455.29</v>
      </c>
      <c r="F39" s="78">
        <f t="shared" si="0"/>
        <v>2.3174929801215737E-3</v>
      </c>
      <c r="G39" s="78">
        <f t="shared" si="1"/>
        <v>1</v>
      </c>
      <c r="H39" s="78" t="s">
        <v>129</v>
      </c>
      <c r="J39" s="33"/>
      <c r="K39" s="33"/>
    </row>
    <row r="40" spans="1:11" ht="21.75" customHeight="1" x14ac:dyDescent="0.25">
      <c r="A40" s="1"/>
      <c r="B40" s="22"/>
      <c r="C40" s="23" t="s">
        <v>17</v>
      </c>
      <c r="D40" s="23"/>
      <c r="E40" s="29">
        <f>SUM(E4:E39)</f>
        <v>1059459.5198606374</v>
      </c>
      <c r="F40" s="25"/>
      <c r="G40" s="25"/>
      <c r="H40" s="25"/>
    </row>
    <row r="43" spans="1:11" x14ac:dyDescent="0.25">
      <c r="E43" s="14"/>
    </row>
    <row r="44" spans="1:11" s="11" customFormat="1" x14ac:dyDescent="0.25">
      <c r="A44" s="15"/>
      <c r="C44" s="1"/>
      <c r="E44" s="14"/>
      <c r="I44" s="1"/>
      <c r="J44" s="1"/>
      <c r="K44" s="1"/>
    </row>
  </sheetData>
  <autoFilter ref="B3:F40"/>
  <sortState ref="B4:H39">
    <sortCondition descending="1" ref="E4:E39"/>
  </sortState>
  <mergeCells count="1">
    <mergeCell ref="B1:H1"/>
  </mergeCells>
  <printOptions horizontalCentered="1"/>
  <pageMargins left="0.51181102362204722" right="0.51181102362204722" top="0.78740157480314965" bottom="0.78740157480314965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C47"/>
  <sheetViews>
    <sheetView showGridLines="0" workbookViewId="0">
      <selection activeCell="B75" sqref="B75"/>
    </sheetView>
  </sheetViews>
  <sheetFormatPr defaultRowHeight="12.75" outlineLevelRow="1" x14ac:dyDescent="0.2"/>
  <cols>
    <col min="1" max="1" width="9.140625" style="2"/>
    <col min="2" max="2" width="35.7109375" style="2" customWidth="1"/>
    <col min="3" max="3" width="13.7109375" style="2" customWidth="1"/>
    <col min="4" max="16384" width="9.140625" style="2"/>
  </cols>
  <sheetData>
    <row r="2" spans="2:3" x14ac:dyDescent="0.2">
      <c r="B2" s="157" t="s">
        <v>18</v>
      </c>
      <c r="C2" s="157"/>
    </row>
    <row r="3" spans="2:3" ht="9.75" customHeight="1" x14ac:dyDescent="0.2">
      <c r="B3" s="3"/>
      <c r="C3" s="3"/>
    </row>
    <row r="4" spans="2:3" x14ac:dyDescent="0.2">
      <c r="B4" s="10" t="s">
        <v>2</v>
      </c>
      <c r="C4" s="10" t="s">
        <v>3</v>
      </c>
    </row>
    <row r="5" spans="2:3" collapsed="1" x14ac:dyDescent="0.2">
      <c r="B5" s="4" t="s">
        <v>4</v>
      </c>
      <c r="C5" s="5">
        <f>SUM(C6:C8)</f>
        <v>301.09000000000003</v>
      </c>
    </row>
    <row r="6" spans="2:3" hidden="1" outlineLevel="1" x14ac:dyDescent="0.2">
      <c r="B6" s="6" t="s">
        <v>16</v>
      </c>
      <c r="C6" s="7">
        <v>156.63</v>
      </c>
    </row>
    <row r="7" spans="2:3" hidden="1" outlineLevel="1" x14ac:dyDescent="0.2">
      <c r="B7" s="6" t="s">
        <v>14</v>
      </c>
      <c r="C7" s="7">
        <v>50.99</v>
      </c>
    </row>
    <row r="8" spans="2:3" hidden="1" outlineLevel="1" x14ac:dyDescent="0.2">
      <c r="B8" s="6" t="s">
        <v>15</v>
      </c>
      <c r="C8" s="7">
        <v>93.47</v>
      </c>
    </row>
    <row r="9" spans="2:3" collapsed="1" x14ac:dyDescent="0.2">
      <c r="B9" s="4" t="s">
        <v>5</v>
      </c>
      <c r="C9" s="5">
        <f>SUM(C10:C12)</f>
        <v>85.18</v>
      </c>
    </row>
    <row r="10" spans="2:3" hidden="1" outlineLevel="1" x14ac:dyDescent="0.2">
      <c r="B10" s="6" t="s">
        <v>16</v>
      </c>
      <c r="C10" s="7">
        <v>85.18</v>
      </c>
    </row>
    <row r="11" spans="2:3" hidden="1" outlineLevel="1" x14ac:dyDescent="0.2">
      <c r="B11" s="6" t="s">
        <v>14</v>
      </c>
      <c r="C11" s="7"/>
    </row>
    <row r="12" spans="2:3" hidden="1" outlineLevel="1" x14ac:dyDescent="0.2">
      <c r="B12" s="6" t="s">
        <v>15</v>
      </c>
      <c r="C12" s="7"/>
    </row>
    <row r="13" spans="2:3" collapsed="1" x14ac:dyDescent="0.2">
      <c r="B13" s="4" t="s">
        <v>6</v>
      </c>
      <c r="C13" s="5">
        <f t="shared" ref="C13:C41" si="0">SUM(C14:C16)</f>
        <v>297.10000000000002</v>
      </c>
    </row>
    <row r="14" spans="2:3" hidden="1" outlineLevel="1" x14ac:dyDescent="0.2">
      <c r="B14" s="6" t="s">
        <v>16</v>
      </c>
      <c r="C14" s="7">
        <v>230.52</v>
      </c>
    </row>
    <row r="15" spans="2:3" hidden="1" outlineLevel="1" x14ac:dyDescent="0.2">
      <c r="B15" s="6" t="s">
        <v>14</v>
      </c>
      <c r="C15" s="7">
        <v>23.52</v>
      </c>
    </row>
    <row r="16" spans="2:3" hidden="1" outlineLevel="1" x14ac:dyDescent="0.2">
      <c r="B16" s="6" t="s">
        <v>15</v>
      </c>
      <c r="C16" s="7">
        <v>43.06</v>
      </c>
    </row>
    <row r="17" spans="2:3" collapsed="1" x14ac:dyDescent="0.2">
      <c r="B17" s="4" t="s">
        <v>7</v>
      </c>
      <c r="C17" s="5">
        <f t="shared" si="0"/>
        <v>100.61</v>
      </c>
    </row>
    <row r="18" spans="2:3" hidden="1" outlineLevel="1" x14ac:dyDescent="0.2">
      <c r="B18" s="6" t="s">
        <v>16</v>
      </c>
      <c r="C18" s="7">
        <v>100.61</v>
      </c>
    </row>
    <row r="19" spans="2:3" hidden="1" outlineLevel="1" x14ac:dyDescent="0.2">
      <c r="B19" s="6" t="s">
        <v>14</v>
      </c>
      <c r="C19" s="7"/>
    </row>
    <row r="20" spans="2:3" hidden="1" outlineLevel="1" x14ac:dyDescent="0.2">
      <c r="B20" s="6" t="s">
        <v>15</v>
      </c>
      <c r="C20" s="7"/>
    </row>
    <row r="21" spans="2:3" collapsed="1" x14ac:dyDescent="0.2">
      <c r="B21" s="4" t="s">
        <v>8</v>
      </c>
      <c r="C21" s="5">
        <f t="shared" si="0"/>
        <v>418.9</v>
      </c>
    </row>
    <row r="22" spans="2:3" hidden="1" outlineLevel="1" x14ac:dyDescent="0.2">
      <c r="B22" s="6" t="s">
        <v>16</v>
      </c>
      <c r="C22" s="7">
        <v>254</v>
      </c>
    </row>
    <row r="23" spans="2:3" hidden="1" outlineLevel="1" x14ac:dyDescent="0.2">
      <c r="B23" s="6" t="s">
        <v>14</v>
      </c>
      <c r="C23" s="7">
        <v>58.2</v>
      </c>
    </row>
    <row r="24" spans="2:3" hidden="1" outlineLevel="1" x14ac:dyDescent="0.2">
      <c r="B24" s="6" t="s">
        <v>15</v>
      </c>
      <c r="C24" s="7">
        <v>106.7</v>
      </c>
    </row>
    <row r="25" spans="2:3" collapsed="1" x14ac:dyDescent="0.2">
      <c r="B25" s="4" t="s">
        <v>9</v>
      </c>
      <c r="C25" s="5">
        <f t="shared" si="0"/>
        <v>296.45</v>
      </c>
    </row>
    <row r="26" spans="2:3" hidden="1" outlineLevel="1" x14ac:dyDescent="0.2">
      <c r="B26" s="6" t="s">
        <v>16</v>
      </c>
      <c r="C26" s="7">
        <v>174.29</v>
      </c>
    </row>
    <row r="27" spans="2:3" hidden="1" outlineLevel="1" x14ac:dyDescent="0.2">
      <c r="B27" s="6" t="s">
        <v>14</v>
      </c>
      <c r="C27" s="7">
        <v>43.05</v>
      </c>
    </row>
    <row r="28" spans="2:3" hidden="1" outlineLevel="1" x14ac:dyDescent="0.2">
      <c r="B28" s="6" t="s">
        <v>15</v>
      </c>
      <c r="C28" s="7">
        <v>79.11</v>
      </c>
    </row>
    <row r="29" spans="2:3" collapsed="1" x14ac:dyDescent="0.2">
      <c r="B29" s="4" t="s">
        <v>10</v>
      </c>
      <c r="C29" s="5">
        <f t="shared" si="0"/>
        <v>101.87</v>
      </c>
    </row>
    <row r="30" spans="2:3" hidden="1" outlineLevel="1" x14ac:dyDescent="0.2">
      <c r="B30" s="6" t="s">
        <v>16</v>
      </c>
      <c r="C30" s="7">
        <v>101.87</v>
      </c>
    </row>
    <row r="31" spans="2:3" hidden="1" outlineLevel="1" x14ac:dyDescent="0.2">
      <c r="B31" s="6" t="s">
        <v>14</v>
      </c>
      <c r="C31" s="7"/>
    </row>
    <row r="32" spans="2:3" hidden="1" outlineLevel="1" x14ac:dyDescent="0.2">
      <c r="B32" s="6" t="s">
        <v>15</v>
      </c>
      <c r="C32" s="7"/>
    </row>
    <row r="33" spans="2:3" collapsed="1" x14ac:dyDescent="0.2">
      <c r="B33" s="4" t="s">
        <v>11</v>
      </c>
      <c r="C33" s="5">
        <f t="shared" si="0"/>
        <v>372.93</v>
      </c>
    </row>
    <row r="34" spans="2:3" hidden="1" outlineLevel="1" x14ac:dyDescent="0.2">
      <c r="B34" s="6" t="s">
        <v>16</v>
      </c>
      <c r="C34" s="7">
        <v>299.05</v>
      </c>
    </row>
    <row r="35" spans="2:3" hidden="1" outlineLevel="1" x14ac:dyDescent="0.2">
      <c r="B35" s="6" t="s">
        <v>14</v>
      </c>
      <c r="C35" s="7">
        <v>26.08</v>
      </c>
    </row>
    <row r="36" spans="2:3" hidden="1" outlineLevel="1" x14ac:dyDescent="0.2">
      <c r="B36" s="6" t="s">
        <v>15</v>
      </c>
      <c r="C36" s="7">
        <v>47.8</v>
      </c>
    </row>
    <row r="37" spans="2:3" collapsed="1" x14ac:dyDescent="0.2">
      <c r="B37" s="4" t="s">
        <v>12</v>
      </c>
      <c r="C37" s="5">
        <f t="shared" si="0"/>
        <v>107.12</v>
      </c>
    </row>
    <row r="38" spans="2:3" hidden="1" outlineLevel="1" x14ac:dyDescent="0.2">
      <c r="B38" s="6" t="s">
        <v>16</v>
      </c>
      <c r="C38" s="7">
        <v>107.12</v>
      </c>
    </row>
    <row r="39" spans="2:3" hidden="1" outlineLevel="1" x14ac:dyDescent="0.2">
      <c r="B39" s="6" t="s">
        <v>14</v>
      </c>
      <c r="C39" s="7"/>
    </row>
    <row r="40" spans="2:3" hidden="1" outlineLevel="1" x14ac:dyDescent="0.2">
      <c r="B40" s="6" t="s">
        <v>15</v>
      </c>
      <c r="C40" s="7"/>
    </row>
    <row r="41" spans="2:3" collapsed="1" x14ac:dyDescent="0.2">
      <c r="B41" s="4" t="s">
        <v>13</v>
      </c>
      <c r="C41" s="5">
        <f t="shared" si="0"/>
        <v>396.53</v>
      </c>
    </row>
    <row r="42" spans="2:3" hidden="1" outlineLevel="1" x14ac:dyDescent="0.2">
      <c r="B42" s="6" t="s">
        <v>16</v>
      </c>
      <c r="C42" s="7">
        <v>245.16</v>
      </c>
    </row>
    <row r="43" spans="2:3" hidden="1" outlineLevel="1" x14ac:dyDescent="0.2">
      <c r="B43" s="6" t="s">
        <v>14</v>
      </c>
      <c r="C43" s="7">
        <v>53.46</v>
      </c>
    </row>
    <row r="44" spans="2:3" hidden="1" outlineLevel="1" x14ac:dyDescent="0.2">
      <c r="B44" s="6" t="s">
        <v>15</v>
      </c>
      <c r="C44" s="7">
        <v>97.91</v>
      </c>
    </row>
    <row r="45" spans="2:3" x14ac:dyDescent="0.2">
      <c r="B45" s="8" t="s">
        <v>17</v>
      </c>
      <c r="C45" s="9">
        <f>C5+C9+C13+C17+C21+C25+C29+C33+C37+C41</f>
        <v>2477.7800000000007</v>
      </c>
    </row>
    <row r="47" spans="2:3" ht="30" customHeight="1" x14ac:dyDescent="0.2">
      <c r="B47" s="158" t="s">
        <v>19</v>
      </c>
      <c r="C47" s="158"/>
    </row>
  </sheetData>
  <mergeCells count="2">
    <mergeCell ref="B2:C2"/>
    <mergeCell ref="B47:C47"/>
  </mergeCells>
  <pageMargins left="0.511811024" right="0.511811024" top="0.78740157499999996" bottom="0.78740157499999996" header="0.31496062000000002" footer="0.31496062000000002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4</vt:i4>
      </vt:variant>
    </vt:vector>
  </HeadingPairs>
  <TitlesOfParts>
    <vt:vector size="11" baseType="lpstr">
      <vt:lpstr>Planilha Resumo</vt:lpstr>
      <vt:lpstr>Planilha Sintética</vt:lpstr>
      <vt:lpstr>Cronograma Físico-Financeiro</vt:lpstr>
      <vt:lpstr>BDI</vt:lpstr>
      <vt:lpstr>Encargos Sociais</vt:lpstr>
      <vt:lpstr>CURVA ABC</vt:lpstr>
      <vt:lpstr>Quantidades</vt:lpstr>
      <vt:lpstr>'Cronograma Físico-Financeiro'!Area_de_impressao</vt:lpstr>
      <vt:lpstr>'CURVA ABC'!Area_de_impressao</vt:lpstr>
      <vt:lpstr>'Planilha Resumo'!Area_de_impressao</vt:lpstr>
      <vt:lpstr>'Planilha Sintética'!Area_de_impressao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2024-05-16T17:08:59Z</dcterms:created>
  <dcterms:modified xsi:type="dcterms:W3CDTF">2024-05-16T17:09:30Z</dcterms:modified>
</cp:coreProperties>
</file>